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rkcarr/Library/Mobile Documents/com~apple~CloudDocs/ACT Lease Attachments/"/>
    </mc:Choice>
  </mc:AlternateContent>
  <xr:revisionPtr revIDLastSave="0" documentId="8_{9AA51F2E-A2DD-FE47-AB76-790832D28841}" xr6:coauthVersionLast="47" xr6:coauthVersionMax="47" xr10:uidLastSave="{00000000-0000-0000-0000-000000000000}"/>
  <bookViews>
    <workbookView xWindow="3200" yWindow="760" windowWidth="26880" windowHeight="16160" xr2:uid="{4150B1A3-4FA1-1D45-A301-8741E3A9B38B}"/>
  </bookViews>
  <sheets>
    <sheet name="990 Trend Data" sheetId="1" r:id="rId1"/>
    <sheet name="Large Donors" sheetId="2" r:id="rId2"/>
    <sheet name="Sheet3" sheetId="3" r:id="rId3"/>
  </sheets>
  <definedNames>
    <definedName name="_xlnm._FilterDatabase" localSheetId="1" hidden="1">'Large Donors'!$A$3:$K$3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0" i="1" l="1"/>
  <c r="M50" i="1" s="1"/>
  <c r="I112" i="1"/>
  <c r="J112" i="1" s="1"/>
  <c r="I110" i="1"/>
  <c r="J110" i="1" s="1"/>
  <c r="I108" i="1"/>
  <c r="J108" i="1" s="1"/>
  <c r="I107" i="1"/>
  <c r="J107" i="1" s="1"/>
  <c r="I106" i="1"/>
  <c r="J106" i="1" s="1"/>
  <c r="I105" i="1"/>
  <c r="J105" i="1" s="1"/>
  <c r="I103" i="1"/>
  <c r="J103" i="1" s="1"/>
  <c r="I101" i="1"/>
  <c r="J101" i="1" s="1"/>
  <c r="J99" i="1"/>
  <c r="I99" i="1"/>
  <c r="I97" i="1"/>
  <c r="J97" i="1" s="1"/>
  <c r="I95" i="1"/>
  <c r="J95" i="1" s="1"/>
  <c r="I93" i="1"/>
  <c r="J93" i="1" s="1"/>
  <c r="J25" i="1"/>
  <c r="I25" i="1"/>
  <c r="I24" i="1"/>
  <c r="J24" i="1" s="1"/>
  <c r="L114" i="1"/>
  <c r="M114" i="1" s="1"/>
  <c r="L112" i="1"/>
  <c r="M112" i="1" s="1"/>
  <c r="L110" i="1"/>
  <c r="M110" i="1" s="1"/>
  <c r="L108" i="1"/>
  <c r="M108" i="1" s="1"/>
  <c r="L107" i="1"/>
  <c r="M107" i="1" s="1"/>
  <c r="L106" i="1"/>
  <c r="M106" i="1" s="1"/>
  <c r="L105" i="1"/>
  <c r="M105" i="1" s="1"/>
  <c r="L103" i="1"/>
  <c r="M103" i="1" s="1"/>
  <c r="L101" i="1"/>
  <c r="M101" i="1" s="1"/>
  <c r="L99" i="1"/>
  <c r="M99" i="1" s="1"/>
  <c r="L97" i="1"/>
  <c r="M97" i="1" s="1"/>
  <c r="L95" i="1"/>
  <c r="M95" i="1" s="1"/>
  <c r="L94" i="1"/>
  <c r="M94" i="1" s="1"/>
  <c r="L93" i="1"/>
  <c r="M93" i="1" s="1"/>
  <c r="L90" i="1"/>
  <c r="M90" i="1" s="1"/>
  <c r="L88" i="1"/>
  <c r="M88" i="1" s="1"/>
  <c r="L80" i="1"/>
  <c r="M80" i="1" s="1"/>
  <c r="L78" i="1"/>
  <c r="M78" i="1" s="1"/>
  <c r="M73" i="1"/>
  <c r="L73" i="1"/>
  <c r="L72" i="1"/>
  <c r="M72" i="1" s="1"/>
  <c r="L71" i="1"/>
  <c r="M71" i="1" s="1"/>
  <c r="L70" i="1"/>
  <c r="M70" i="1" s="1"/>
  <c r="L69" i="1"/>
  <c r="M69" i="1" s="1"/>
  <c r="M68" i="1"/>
  <c r="L68" i="1"/>
  <c r="L67" i="1"/>
  <c r="M67" i="1" s="1"/>
  <c r="L66" i="1"/>
  <c r="M66" i="1" s="1"/>
  <c r="L65" i="1"/>
  <c r="M65" i="1" s="1"/>
  <c r="L64" i="1"/>
  <c r="M64" i="1" s="1"/>
  <c r="L60" i="1"/>
  <c r="M60" i="1" s="1"/>
  <c r="L59" i="1"/>
  <c r="M59" i="1" s="1"/>
  <c r="L56" i="1"/>
  <c r="M56" i="1" s="1"/>
  <c r="L49" i="1"/>
  <c r="M49" i="1" s="1"/>
  <c r="L48" i="1"/>
  <c r="M48" i="1" s="1"/>
  <c r="L35" i="1"/>
  <c r="M35" i="1" s="1"/>
  <c r="L34" i="1"/>
  <c r="M34" i="1" s="1"/>
  <c r="L33" i="1"/>
  <c r="M33" i="1" s="1"/>
  <c r="L27" i="1"/>
  <c r="M27" i="1" s="1"/>
  <c r="L25" i="1"/>
  <c r="M25" i="1" s="1"/>
  <c r="L24" i="1"/>
  <c r="M24" i="1" s="1"/>
  <c r="L18" i="1"/>
  <c r="M18" i="1" s="1"/>
  <c r="L16" i="1"/>
  <c r="M16" i="1" s="1"/>
  <c r="L14" i="1"/>
  <c r="M14" i="1" s="1"/>
  <c r="L13" i="1"/>
  <c r="M13" i="1" s="1"/>
  <c r="L11" i="1"/>
  <c r="M11" i="1" s="1"/>
  <c r="L9" i="1"/>
  <c r="M9" i="1" s="1"/>
  <c r="L8" i="1"/>
  <c r="M8" i="1" s="1"/>
  <c r="L7" i="1"/>
  <c r="M7" i="1" s="1"/>
  <c r="L6" i="1"/>
  <c r="M6" i="1" s="1"/>
  <c r="L5" i="1"/>
  <c r="M5" i="1" s="1"/>
  <c r="M4" i="1"/>
  <c r="L4" i="1"/>
  <c r="K114" i="1"/>
  <c r="K112" i="1"/>
  <c r="K110" i="1"/>
  <c r="K27" i="1"/>
  <c r="K21" i="1"/>
  <c r="K19" i="1"/>
  <c r="K18" i="1"/>
  <c r="K16" i="1"/>
  <c r="K31" i="1" a="1"/>
  <c r="K31" i="1" s="1"/>
  <c r="K88" i="1"/>
  <c r="K90" i="1" s="1"/>
  <c r="K50" i="1"/>
  <c r="K45" i="1"/>
  <c r="K44" i="1"/>
  <c r="K43" i="1"/>
  <c r="K11" i="1"/>
  <c r="I49" i="1"/>
  <c r="J49" i="1" s="1"/>
  <c r="I48" i="1"/>
  <c r="J48" i="1" s="1"/>
  <c r="H21" i="1"/>
  <c r="G21" i="1"/>
  <c r="F43" i="1"/>
  <c r="E43" i="1"/>
  <c r="G43" i="1"/>
  <c r="H45" i="1"/>
  <c r="H44" i="1"/>
  <c r="H43" i="1"/>
  <c r="H50" i="1"/>
  <c r="G50" i="1"/>
  <c r="F50" i="1"/>
  <c r="E50" i="1"/>
  <c r="D50" i="1"/>
  <c r="C50" i="1"/>
  <c r="H31" i="1" a="1"/>
  <c r="H31" i="1" s="1"/>
  <c r="G31" i="1" a="1"/>
  <c r="G31" i="1" s="1"/>
  <c r="F31" i="1" a="1"/>
  <c r="F31" i="1" s="1"/>
  <c r="D31" i="1" a="1"/>
  <c r="D31" i="1" s="1"/>
  <c r="C31" i="1" a="1"/>
  <c r="C31" i="1" s="1"/>
  <c r="I33" i="1"/>
  <c r="J33" i="1" s="1"/>
  <c r="I86" i="1"/>
  <c r="J86" i="1" s="1"/>
  <c r="I80" i="1"/>
  <c r="J80" i="1" s="1"/>
  <c r="I78" i="1"/>
  <c r="J78" i="1" s="1"/>
  <c r="I77" i="1"/>
  <c r="I73" i="1"/>
  <c r="J73" i="1" s="1"/>
  <c r="I72" i="1"/>
  <c r="I71" i="1"/>
  <c r="J71" i="1" s="1"/>
  <c r="I70" i="1"/>
  <c r="J70" i="1" s="1"/>
  <c r="I68" i="1"/>
  <c r="I67" i="1"/>
  <c r="J67" i="1" s="1"/>
  <c r="I66" i="1"/>
  <c r="J66" i="1" s="1"/>
  <c r="I65" i="1"/>
  <c r="I64" i="1"/>
  <c r="I69" i="1"/>
  <c r="J69" i="1" s="1"/>
  <c r="I60" i="1"/>
  <c r="J60" i="1" s="1"/>
  <c r="I59" i="1"/>
  <c r="J59" i="1" s="1"/>
  <c r="I56" i="1"/>
  <c r="J56" i="1" s="1"/>
  <c r="I14" i="1"/>
  <c r="J14" i="1" s="1"/>
  <c r="I13" i="1"/>
  <c r="J13" i="1" s="1"/>
  <c r="I9" i="1"/>
  <c r="J9" i="1" s="1"/>
  <c r="I8" i="1"/>
  <c r="I7" i="1"/>
  <c r="J7" i="1" s="1"/>
  <c r="I6" i="1"/>
  <c r="J6" i="1" s="1"/>
  <c r="B110" i="1"/>
  <c r="B103" i="1"/>
  <c r="B73" i="1"/>
  <c r="B88" i="1" s="1"/>
  <c r="B49" i="1"/>
  <c r="B50" i="1" s="1"/>
  <c r="B27" i="1"/>
  <c r="B16" i="1"/>
  <c r="B11" i="1"/>
  <c r="B21" i="1" s="1"/>
  <c r="C110" i="1"/>
  <c r="C103" i="1"/>
  <c r="C88" i="1"/>
  <c r="C29" i="1"/>
  <c r="C16" i="1"/>
  <c r="C11" i="1"/>
  <c r="C21" i="1" s="1"/>
  <c r="D110" i="1"/>
  <c r="D103" i="1"/>
  <c r="D88" i="1"/>
  <c r="E110" i="1"/>
  <c r="E103" i="1"/>
  <c r="E88" i="1"/>
  <c r="D16" i="1"/>
  <c r="D11" i="1"/>
  <c r="D51" i="1" s="1"/>
  <c r="H11" i="1"/>
  <c r="G11" i="1"/>
  <c r="F11" i="1"/>
  <c r="F21" i="1" s="1"/>
  <c r="E11" i="1"/>
  <c r="E21" i="1" s="1"/>
  <c r="F110" i="1"/>
  <c r="F103" i="1"/>
  <c r="F88" i="1"/>
  <c r="E27" i="1"/>
  <c r="E16" i="1"/>
  <c r="H110" i="1"/>
  <c r="H103" i="1"/>
  <c r="G110" i="1"/>
  <c r="G103" i="1"/>
  <c r="G88" i="1"/>
  <c r="H28" i="2"/>
  <c r="F27" i="1"/>
  <c r="F16" i="1"/>
  <c r="H88" i="1"/>
  <c r="I28" i="2"/>
  <c r="H29" i="2"/>
  <c r="G29" i="2"/>
  <c r="E29" i="2"/>
  <c r="D29" i="2"/>
  <c r="C29" i="2"/>
  <c r="I29" i="2"/>
  <c r="K25" i="2"/>
  <c r="K24" i="2"/>
  <c r="K14" i="2"/>
  <c r="K20" i="2"/>
  <c r="K16" i="2"/>
  <c r="K8" i="2"/>
  <c r="K10" i="2"/>
  <c r="K15" i="2"/>
  <c r="K23" i="2"/>
  <c r="K13" i="2"/>
  <c r="K17" i="2"/>
  <c r="K5" i="2"/>
  <c r="K22" i="2"/>
  <c r="K21" i="2"/>
  <c r="K11" i="2"/>
  <c r="K19" i="2"/>
  <c r="K12" i="2"/>
  <c r="K9" i="2"/>
  <c r="K7" i="2"/>
  <c r="K18" i="2"/>
  <c r="K4" i="2"/>
  <c r="D27" i="2"/>
  <c r="C27" i="2"/>
  <c r="I27" i="2"/>
  <c r="H27" i="2"/>
  <c r="G27" i="2"/>
  <c r="F27" i="2"/>
  <c r="E27" i="2"/>
  <c r="F6" i="2"/>
  <c r="F29" i="2" s="1"/>
  <c r="H27" i="1"/>
  <c r="G27" i="1"/>
  <c r="G16" i="1"/>
  <c r="H16" i="1"/>
  <c r="I50" i="1" l="1"/>
  <c r="J50" i="1" s="1"/>
  <c r="K51" i="1"/>
  <c r="D21" i="1"/>
  <c r="K6" i="2"/>
  <c r="B51" i="1"/>
  <c r="C51" i="1"/>
  <c r="E51" i="1"/>
  <c r="F51" i="1"/>
  <c r="G51" i="1"/>
  <c r="H51" i="1"/>
  <c r="I11" i="1"/>
  <c r="J11" i="1" s="1"/>
  <c r="I88" i="1"/>
  <c r="J88" i="1" s="1"/>
  <c r="I16" i="1"/>
  <c r="J16" i="1" s="1"/>
  <c r="E90" i="1"/>
  <c r="I116" i="1"/>
  <c r="C112" i="1"/>
  <c r="H112" i="1"/>
  <c r="G90" i="1"/>
  <c r="C90" i="1"/>
  <c r="B90" i="1"/>
  <c r="D90" i="1"/>
  <c r="G112" i="1"/>
  <c r="F90" i="1"/>
  <c r="H90" i="1"/>
  <c r="B112" i="1"/>
  <c r="C18" i="1"/>
  <c r="C19" i="1" s="1"/>
  <c r="F112" i="1"/>
  <c r="E112" i="1"/>
  <c r="B18" i="1"/>
  <c r="B19" i="1" s="1"/>
  <c r="D112" i="1"/>
  <c r="E18" i="1"/>
  <c r="E19" i="1" s="1"/>
  <c r="D18" i="1"/>
  <c r="D19" i="1" s="1"/>
  <c r="G18" i="1"/>
  <c r="G19" i="1" s="1"/>
  <c r="F18" i="1"/>
  <c r="F19" i="1" s="1"/>
  <c r="H18" i="1"/>
  <c r="H19" i="1" s="1"/>
  <c r="K27" i="2"/>
  <c r="E114" i="1" l="1"/>
  <c r="H114" i="1"/>
  <c r="G114" i="1"/>
  <c r="D114" i="1"/>
  <c r="F114" i="1"/>
  <c r="C1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<sst xmlns="http://schemas.openxmlformats.org/spreadsheetml/2006/main" count="153" uniqueCount="131">
  <si>
    <t>7'/31/23</t>
  </si>
  <si>
    <t>Fiscal</t>
  </si>
  <si>
    <t>Directors</t>
  </si>
  <si>
    <t>Employees</t>
  </si>
  <si>
    <t>Contributions and Grants</t>
  </si>
  <si>
    <t>Program Revenue</t>
  </si>
  <si>
    <t>Investment Income</t>
  </si>
  <si>
    <t>Other Revenue</t>
  </si>
  <si>
    <t>Total Revenue</t>
  </si>
  <si>
    <t>Salaries and Compensation</t>
  </si>
  <si>
    <t>Other Expenses</t>
  </si>
  <si>
    <t>Total Expenses</t>
  </si>
  <si>
    <t>Total Assets</t>
  </si>
  <si>
    <t>Total Liabilities</t>
  </si>
  <si>
    <t>Net Fund Balance</t>
  </si>
  <si>
    <t>Daniel Levine</t>
  </si>
  <si>
    <t>Bryan Perri</t>
  </si>
  <si>
    <t>Erin Craig</t>
  </si>
  <si>
    <t>Government Grants</t>
  </si>
  <si>
    <t>Other Contributions</t>
  </si>
  <si>
    <t>https://www.instrumentl.com/990-report/act-of-connecticut-inc</t>
  </si>
  <si>
    <t>NAME</t>
  </si>
  <si>
    <t>LOCATION</t>
  </si>
  <si>
    <t>AMOUNT</t>
  </si>
  <si>
    <t>PURPOSE</t>
  </si>
  <si>
    <t>American Online Giving Foundation Inc</t>
  </si>
  <si>
    <t>40 EAST MAIN STREET SUITE 887, NEWARK, DE 19711</t>
  </si>
  <si>
    <t>General support</t>
  </si>
  <si>
    <t>Anna Maria And Stephen Kellen Foundation Inc</t>
  </si>
  <si>
    <t>15 MAIDEN LANE SUITE 500, NEW YORK, NY 10038</t>
  </si>
  <si>
    <t>General tax exempt purposes</t>
  </si>
  <si>
    <t>Anne S Richardson Fund Xxxxx3004</t>
  </si>
  <si>
    <t>10 S DEARBORN IL1-0111, CHICAGO, IL 60603</t>
  </si>
  <si>
    <t>General</t>
  </si>
  <si>
    <t>Burry Fredrik Foundation Inc</t>
  </si>
  <si>
    <t>393 STATE STREET, NORTH HAVEN, CT 06473</t>
  </si>
  <si>
    <t>Theatrical arts</t>
  </si>
  <si>
    <t>Connecticut Humanities Council Inc</t>
  </si>
  <si>
    <t>100 RIVERVIEW CENTER 290, MIDDLETOWN, CT 06457</t>
  </si>
  <si>
    <t>Ct cultural fund ope</t>
  </si>
  <si>
    <t>Perakis Foundation</t>
  </si>
  <si>
    <t>59 EDGEWATER DRIVE, WILTON, CT 06897</t>
  </si>
  <si>
    <t>Robert And Diana Borman Family Foundation</t>
  </si>
  <si>
    <t>455 MANSFIELD AVENUE, DARIEN, CT 06820</t>
  </si>
  <si>
    <t>Spring show/ technical apprentice program</t>
  </si>
  <si>
    <t>The Barker Welfare Foundation</t>
  </si>
  <si>
    <t>PO BOX 31432, PALM BEACH GARDENS, FL 33420</t>
  </si>
  <si>
    <t>For general operating support.</t>
  </si>
  <si>
    <t>The Spofford Foundation Inc</t>
  </si>
  <si>
    <t>FOUNDATION SOURCE 501 SILVERSIDE RD, WILMINGTON, DE 198091377</t>
  </si>
  <si>
    <t>General &amp; unrestricted</t>
  </si>
  <si>
    <t>Denise and Michael Kellen Foundation</t>
  </si>
  <si>
    <t>Mle Foundation</t>
  </si>
  <si>
    <t>Mulberry Essence Foundation</t>
  </si>
  <si>
    <t>Ridgefield Thrift Shop Inc.</t>
  </si>
  <si>
    <t>Robert and Diana Borman Family Foundation</t>
  </si>
  <si>
    <t>Ruggles Family Foundation</t>
  </si>
  <si>
    <t>The AycoCharitable Foundation</t>
  </si>
  <si>
    <t>The Two Foundation</t>
  </si>
  <si>
    <t>Fairfield County Community Foundation</t>
  </si>
  <si>
    <t>Goldman Sachs Philanthropy Fund</t>
  </si>
  <si>
    <t>The Carl Marks Foundation</t>
  </si>
  <si>
    <t>Salaries</t>
  </si>
  <si>
    <t>Payroll Taxes</t>
  </si>
  <si>
    <t>Management</t>
  </si>
  <si>
    <t>Advertising &amp; Promotion</t>
  </si>
  <si>
    <t>Office Expenses</t>
  </si>
  <si>
    <t>Information Technology</t>
  </si>
  <si>
    <t>Royalties</t>
  </si>
  <si>
    <t>Occupancy</t>
  </si>
  <si>
    <t>Travel</t>
  </si>
  <si>
    <t>Interest</t>
  </si>
  <si>
    <t>Depreciation</t>
  </si>
  <si>
    <t>Insurance</t>
  </si>
  <si>
    <t>Special Projects</t>
  </si>
  <si>
    <t>Facility &amp; Maintenance</t>
  </si>
  <si>
    <t xml:space="preserve">Other Expenses </t>
  </si>
  <si>
    <t>Expenses</t>
  </si>
  <si>
    <t>Marketing</t>
  </si>
  <si>
    <t>Cash non interest bearing</t>
  </si>
  <si>
    <t>Pledges Grants Receivable</t>
  </si>
  <si>
    <t>Prepaid Expenses</t>
  </si>
  <si>
    <t>Land Buildings</t>
  </si>
  <si>
    <t>Other Assets</t>
  </si>
  <si>
    <t>Accounts Payable</t>
  </si>
  <si>
    <t>Deferred Revenue</t>
  </si>
  <si>
    <t>Unsecured Notes</t>
  </si>
  <si>
    <t>Other Liabilities</t>
  </si>
  <si>
    <t>Savings and temporary cash investments</t>
  </si>
  <si>
    <t>Pension plan</t>
  </si>
  <si>
    <t>Other Employeee Benefits</t>
  </si>
  <si>
    <t>Production Program Expenses</t>
  </si>
  <si>
    <t>Outside Professional</t>
  </si>
  <si>
    <t>Bank Credit Card Charges</t>
  </si>
  <si>
    <t>Office Supplies</t>
  </si>
  <si>
    <t>Revenue Less Expenses</t>
  </si>
  <si>
    <t>Accounting</t>
  </si>
  <si>
    <t>Other</t>
  </si>
  <si>
    <t>Dues and Subscriptions</t>
  </si>
  <si>
    <t xml:space="preserve">Investments </t>
  </si>
  <si>
    <t>Misc. Expenses</t>
  </si>
  <si>
    <t>Printing</t>
  </si>
  <si>
    <t>Accounts Receivable</t>
  </si>
  <si>
    <t>Error</t>
  </si>
  <si>
    <t>Compensation to Officers etc.</t>
  </si>
  <si>
    <t>Compensation not included above</t>
  </si>
  <si>
    <t>Licensing Fees &amp; Permits</t>
  </si>
  <si>
    <t>Public Relations</t>
  </si>
  <si>
    <t>Net Revenue - Expenses</t>
  </si>
  <si>
    <t>Inventories</t>
  </si>
  <si>
    <t>Previous Fund Balance+Net Income</t>
  </si>
  <si>
    <t>Free cash</t>
  </si>
  <si>
    <t>Per Capita Compensation</t>
  </si>
  <si>
    <t>Total</t>
  </si>
  <si>
    <t>Percent of Revenue</t>
  </si>
  <si>
    <t>Net Percent of Revenue</t>
  </si>
  <si>
    <t>Hourly Rate</t>
  </si>
  <si>
    <t>Average Hours Per Week</t>
  </si>
  <si>
    <t>https://www.actofct.org/daniel-c-levine</t>
  </si>
  <si>
    <t>Lebvine Bio</t>
  </si>
  <si>
    <t>https://www.linkedin.com/in/erincraig/</t>
  </si>
  <si>
    <t>Accountant</t>
  </si>
  <si>
    <t>BDO USA</t>
  </si>
  <si>
    <t>Peter Diakovasils</t>
  </si>
  <si>
    <t>Reynolds &amp; Rowella</t>
  </si>
  <si>
    <t>Undisclosed</t>
  </si>
  <si>
    <t>Contributions and Grants % of Revenue</t>
  </si>
  <si>
    <t>Legal</t>
  </si>
  <si>
    <t>Merchandise &amp; Concession</t>
  </si>
  <si>
    <t>Delta</t>
  </si>
  <si>
    <t>Delta%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</si>
</sst>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</numFmts>
  <fonts count="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3"/>
      <color rgb="FF878787"/>
      <name val="Helvetica Neue"/>
      <family val="2"/>
    </font>
    <font>
      <sz val="13"/>
      <color rgb="FF333333"/>
      <name val="Helvetica Neue"/>
      <family val="2"/>
    </font>
    <font>
      <u/>
      <sz val="12"/>
      <color theme="10"/>
      <name val="Aptos Narrow"/>
      <family val="2"/>
      <scheme val="minor"/>
    </font>
    <font>
      <sz val="12"/>
      <color theme="1"/>
      <name val="Helvetica Neue"/>
      <family val="2"/>
    </font>
    <font>
      <sz val="13"/>
      <color theme="1"/>
      <name val="Helvetica Neue"/>
      <family val="2"/>
    </font>
    <font>
      <u val="singleAccounting"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43" fontId="0" fillId="0" borderId="0" xfId="1" applyFont="1"/>
    <xf numFmtId="164" fontId="0" fillId="0" borderId="0" xfId="1" applyNumberFormat="1" applyFont="1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0" fontId="5" fillId="0" borderId="0" xfId="0" applyFont="1"/>
    <xf numFmtId="0" fontId="0" fillId="0" borderId="0" xfId="4" applyFont="1"/>
    <xf numFmtId="0" fontId="6" fillId="0" borderId="0" xfId="0" applyFont="1"/>
    <xf numFmtId="164" fontId="0" fillId="0" borderId="0" xfId="0" applyNumberFormat="1"/>
    <xf numFmtId="165" fontId="0" fillId="0" borderId="0" xfId="3" applyNumberFormat="1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7" fillId="0" borderId="0" xfId="1" applyNumberFormat="1" applyFont="1"/>
    <xf numFmtId="44" fontId="0" fillId="0" borderId="0" xfId="2" applyFont="1"/>
    <xf numFmtId="166" fontId="0" fillId="0" borderId="0" xfId="2" applyNumberFormat="1" applyFont="1"/>
    <xf numFmtId="166" fontId="0" fillId="0" borderId="1" xfId="2" applyNumberFormat="1" applyFont="1" applyBorder="1"/>
    <xf numFmtId="0" fontId="0" fillId="0" borderId="0" xfId="0" applyAlignment="1">
      <alignment wrapText="1"/>
    </xf>
    <xf numFmtId="166" fontId="0" fillId="0" borderId="0" xfId="2" applyNumberFormat="1" applyFont="1" applyAlignment="1">
      <alignment vertical="center"/>
    </xf>
    <xf numFmtId="166" fontId="1" fillId="0" borderId="1" xfId="2" applyNumberFormat="1" applyFont="1" applyBorder="1"/>
    <xf numFmtId="166" fontId="0" fillId="0" borderId="0" xfId="0" applyNumberFormat="1"/>
    <xf numFmtId="166" fontId="1" fillId="0" borderId="0" xfId="2" applyNumberFormat="1" applyFont="1" applyBorder="1"/>
    <xf numFmtId="165" fontId="1" fillId="0" borderId="0" xfId="3" applyNumberFormat="1" applyFont="1" applyBorder="1"/>
    <xf numFmtId="0" fontId="6" fillId="0" borderId="0" xfId="1" applyNumberFormat="1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rumentl.com/990-report/barker-welfare-foundation" TargetMode="External"/><Relationship Id="rId3" Type="http://schemas.openxmlformats.org/officeDocument/2006/relationships/hyperlink" Target="https://www.instrumentl.com/990-report/anne-s-richardson-fund-t5874" TargetMode="External"/><Relationship Id="rId7" Type="http://schemas.openxmlformats.org/officeDocument/2006/relationships/hyperlink" Target="https://www.instrumentl.com/990-report/robert-and-diana-borman-family-foundation" TargetMode="External"/><Relationship Id="rId2" Type="http://schemas.openxmlformats.org/officeDocument/2006/relationships/hyperlink" Target="https://www.instrumentl.com/990-report/anna-maria-and-stephen-kellen-foundation-inc" TargetMode="External"/><Relationship Id="rId1" Type="http://schemas.openxmlformats.org/officeDocument/2006/relationships/hyperlink" Target="https://www.instrumentl.com/990-report/american-online-giving-foundation-inc-5e995027-1217-43d7-98a1-74b0a6565a6c" TargetMode="External"/><Relationship Id="rId6" Type="http://schemas.openxmlformats.org/officeDocument/2006/relationships/hyperlink" Target="https://www.instrumentl.com/990-report/perakis-foundation-james-perakis-trustee" TargetMode="External"/><Relationship Id="rId5" Type="http://schemas.openxmlformats.org/officeDocument/2006/relationships/hyperlink" Target="https://www.instrumentl.com/990-report/connecticut-humanities-council-inc" TargetMode="External"/><Relationship Id="rId4" Type="http://schemas.openxmlformats.org/officeDocument/2006/relationships/hyperlink" Target="https://www.instrumentl.com/990-report/burry-fredrik-foundation-inc" TargetMode="External"/><Relationship Id="rId9" Type="http://schemas.openxmlformats.org/officeDocument/2006/relationships/hyperlink" Target="https://www.instrumentl.com/990-report/spofford-foundation-i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2EB76-992E-4D49-89EA-865D32EF34E3}">
  <dimension ref="A1:M141"/>
  <sheetViews>
    <sheetView tabSelected="1" zoomScale="150" zoomScaleNormal="150"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L50" sqref="L50:M50"/>
    </sheetView>
  </sheetViews>
  <sheetFormatPr baseColWidth="10" defaultRowHeight="16" x14ac:dyDescent="0.2"/>
  <cols>
    <col min="1" max="1" width="34.1640625" bestFit="1" customWidth="1"/>
    <col min="2" max="3" width="14" bestFit="1" customWidth="1"/>
    <col min="4" max="7" width="17" bestFit="1" customWidth="1"/>
    <col min="8" max="8" width="14" bestFit="1" customWidth="1"/>
    <col min="9" max="9" width="11.5" customWidth="1"/>
    <col min="10" max="10" width="10.6640625" customWidth="1"/>
    <col min="11" max="11" width="14.5" customWidth="1"/>
    <col min="12" max="12" width="12.1640625" bestFit="1" customWidth="1"/>
  </cols>
  <sheetData>
    <row r="1" spans="1:13" x14ac:dyDescent="0.2">
      <c r="C1" s="11">
        <v>43383</v>
      </c>
      <c r="H1" t="s">
        <v>20</v>
      </c>
    </row>
    <row r="2" spans="1:13" x14ac:dyDescent="0.2">
      <c r="A2" t="s">
        <v>1</v>
      </c>
      <c r="B2" s="12">
        <v>43100</v>
      </c>
      <c r="C2" s="12">
        <v>43465</v>
      </c>
      <c r="D2" s="12">
        <v>43677</v>
      </c>
      <c r="E2" s="12">
        <v>44043</v>
      </c>
      <c r="F2" s="12">
        <v>44408</v>
      </c>
      <c r="G2" s="12">
        <v>44773</v>
      </c>
      <c r="H2" s="13" t="s">
        <v>0</v>
      </c>
      <c r="K2" s="12">
        <v>45504</v>
      </c>
    </row>
    <row r="3" spans="1:13" x14ac:dyDescent="0.2">
      <c r="B3" s="13">
        <v>2017</v>
      </c>
      <c r="C3" s="13">
        <v>2018</v>
      </c>
      <c r="D3" s="13">
        <v>2019</v>
      </c>
      <c r="E3" s="13">
        <v>2020</v>
      </c>
      <c r="F3" s="13">
        <v>2021</v>
      </c>
      <c r="G3" s="13">
        <v>2022</v>
      </c>
      <c r="H3" s="13">
        <v>2023</v>
      </c>
      <c r="I3" s="13" t="s">
        <v>129</v>
      </c>
      <c r="J3" s="13" t="s">
        <v>130</v>
      </c>
      <c r="K3" s="13">
        <v>2024</v>
      </c>
      <c r="L3" s="13" t="s">
        <v>129</v>
      </c>
      <c r="M3" s="13" t="s">
        <v>130</v>
      </c>
    </row>
    <row r="4" spans="1:13" x14ac:dyDescent="0.2">
      <c r="A4" t="s">
        <v>2</v>
      </c>
      <c r="B4" s="2">
        <v>16</v>
      </c>
      <c r="C4" s="2">
        <v>18</v>
      </c>
      <c r="D4" s="2">
        <v>18</v>
      </c>
      <c r="E4" s="2">
        <v>18</v>
      </c>
      <c r="F4" s="2">
        <v>18</v>
      </c>
      <c r="G4">
        <v>18</v>
      </c>
      <c r="H4">
        <v>16</v>
      </c>
      <c r="K4">
        <v>17</v>
      </c>
      <c r="L4" s="2">
        <f>K4-H4</f>
        <v>1</v>
      </c>
      <c r="M4" s="10">
        <f>L4/H4</f>
        <v>6.25E-2</v>
      </c>
    </row>
    <row r="5" spans="1:13" x14ac:dyDescent="0.2">
      <c r="A5" t="s">
        <v>3</v>
      </c>
      <c r="B5" s="2"/>
      <c r="C5" s="2">
        <v>35</v>
      </c>
      <c r="D5" s="2">
        <v>35</v>
      </c>
      <c r="E5" s="2">
        <v>0</v>
      </c>
      <c r="F5" s="2">
        <v>105</v>
      </c>
      <c r="G5">
        <v>106</v>
      </c>
      <c r="H5">
        <v>106</v>
      </c>
      <c r="K5">
        <v>251</v>
      </c>
      <c r="L5" s="2">
        <f t="shared" ref="L5:L9" si="0">K5-H5</f>
        <v>145</v>
      </c>
      <c r="M5" s="10">
        <f t="shared" ref="M5:M9" si="1">L5/H5</f>
        <v>1.3679245283018868</v>
      </c>
    </row>
    <row r="6" spans="1:13" x14ac:dyDescent="0.2">
      <c r="A6" t="s">
        <v>4</v>
      </c>
      <c r="B6" s="16">
        <v>440771</v>
      </c>
      <c r="C6" s="16">
        <v>933591</v>
      </c>
      <c r="D6" s="16">
        <v>886443</v>
      </c>
      <c r="E6" s="16">
        <v>1343975</v>
      </c>
      <c r="F6" s="16">
        <v>934100</v>
      </c>
      <c r="G6" s="16">
        <v>1561541</v>
      </c>
      <c r="H6" s="16">
        <v>1554277</v>
      </c>
      <c r="I6" s="21">
        <f>H6-G6</f>
        <v>-7264</v>
      </c>
      <c r="J6" s="10">
        <f>I6/G6</f>
        <v>-4.6518150980345693E-3</v>
      </c>
      <c r="K6" s="21">
        <v>1230687</v>
      </c>
      <c r="L6" s="2">
        <f t="shared" si="0"/>
        <v>-323590</v>
      </c>
      <c r="M6" s="10">
        <f t="shared" si="1"/>
        <v>-0.20819326284825679</v>
      </c>
    </row>
    <row r="7" spans="1:13" x14ac:dyDescent="0.2">
      <c r="A7" t="s">
        <v>5</v>
      </c>
      <c r="B7" s="2">
        <v>49937</v>
      </c>
      <c r="C7" s="2">
        <v>297877</v>
      </c>
      <c r="D7" s="2">
        <v>973309</v>
      </c>
      <c r="E7" s="2">
        <v>546654</v>
      </c>
      <c r="F7" s="2">
        <v>448999</v>
      </c>
      <c r="G7" s="2">
        <v>1021693</v>
      </c>
      <c r="H7" s="2">
        <v>928343</v>
      </c>
      <c r="I7" s="21">
        <f t="shared" ref="I7:I9" si="2">H7-G7</f>
        <v>-93350</v>
      </c>
      <c r="J7" s="10">
        <f t="shared" ref="J7:J14" si="3">I7/G7</f>
        <v>-9.1367954953200228E-2</v>
      </c>
      <c r="K7" s="2">
        <v>1083930</v>
      </c>
      <c r="L7" s="2">
        <f t="shared" si="0"/>
        <v>155587</v>
      </c>
      <c r="M7" s="10">
        <f t="shared" si="1"/>
        <v>0.16759645949826735</v>
      </c>
    </row>
    <row r="8" spans="1:13" x14ac:dyDescent="0.2">
      <c r="A8" t="s">
        <v>6</v>
      </c>
      <c r="B8" s="2"/>
      <c r="C8" s="2"/>
      <c r="D8" s="2">
        <v>0</v>
      </c>
      <c r="E8" s="2">
        <v>339</v>
      </c>
      <c r="F8" s="2">
        <v>1033</v>
      </c>
      <c r="G8" s="2"/>
      <c r="H8" s="2">
        <v>6278</v>
      </c>
      <c r="I8" s="21">
        <f t="shared" si="2"/>
        <v>6278</v>
      </c>
      <c r="J8" s="10"/>
      <c r="K8" s="2">
        <v>50409</v>
      </c>
      <c r="L8" s="2">
        <f t="shared" si="0"/>
        <v>44131</v>
      </c>
      <c r="M8" s="10">
        <f t="shared" si="1"/>
        <v>7.0294679834342144</v>
      </c>
    </row>
    <row r="9" spans="1:13" ht="19" x14ac:dyDescent="0.35">
      <c r="A9" t="s">
        <v>7</v>
      </c>
      <c r="B9" s="14">
        <v>14714</v>
      </c>
      <c r="C9" s="14">
        <v>77168</v>
      </c>
      <c r="D9" s="14">
        <v>183876</v>
      </c>
      <c r="E9" s="14">
        <v>254872</v>
      </c>
      <c r="F9" s="14">
        <v>73396</v>
      </c>
      <c r="G9" s="14">
        <v>250718</v>
      </c>
      <c r="H9" s="14">
        <v>226263</v>
      </c>
      <c r="I9" s="21">
        <f t="shared" si="2"/>
        <v>-24455</v>
      </c>
      <c r="J9" s="10">
        <f t="shared" si="3"/>
        <v>-9.7539865506266005E-2</v>
      </c>
      <c r="K9" s="14">
        <v>356684</v>
      </c>
      <c r="L9" s="2">
        <f t="shared" si="0"/>
        <v>130421</v>
      </c>
      <c r="M9" s="10">
        <f t="shared" si="1"/>
        <v>0.57641328896019239</v>
      </c>
    </row>
    <row r="10" spans="1:13" ht="19" x14ac:dyDescent="0.35">
      <c r="B10" s="14"/>
      <c r="C10" s="14"/>
      <c r="D10" s="14"/>
      <c r="E10" s="14"/>
      <c r="F10" s="14"/>
      <c r="G10" s="14"/>
      <c r="H10" s="14"/>
    </row>
    <row r="11" spans="1:13" x14ac:dyDescent="0.2">
      <c r="A11" t="s">
        <v>8</v>
      </c>
      <c r="B11" s="16">
        <f t="shared" ref="B11:H11" si="4">SUM(B6:B9)</f>
        <v>505422</v>
      </c>
      <c r="C11" s="16">
        <f t="shared" si="4"/>
        <v>1308636</v>
      </c>
      <c r="D11" s="16">
        <f t="shared" si="4"/>
        <v>2043628</v>
      </c>
      <c r="E11" s="16">
        <f t="shared" si="4"/>
        <v>2145840</v>
      </c>
      <c r="F11" s="16">
        <f t="shared" si="4"/>
        <v>1457528</v>
      </c>
      <c r="G11" s="16">
        <f t="shared" si="4"/>
        <v>2833952</v>
      </c>
      <c r="H11" s="16">
        <f t="shared" si="4"/>
        <v>2715161</v>
      </c>
      <c r="I11" s="21">
        <f>H11-G11</f>
        <v>-118791</v>
      </c>
      <c r="J11" s="10">
        <f t="shared" si="3"/>
        <v>-4.1917082575851673E-2</v>
      </c>
      <c r="K11" s="16">
        <f t="shared" ref="K11" si="5">SUM(K6:K9)</f>
        <v>2721710</v>
      </c>
      <c r="L11" s="2">
        <f t="shared" ref="L11" si="6">K11-H11</f>
        <v>6549</v>
      </c>
      <c r="M11" s="10">
        <f t="shared" ref="M11" si="7">L11/H11</f>
        <v>2.4120116633967563E-3</v>
      </c>
    </row>
    <row r="12" spans="1:13" x14ac:dyDescent="0.2">
      <c r="B12" s="2"/>
      <c r="C12" s="2"/>
      <c r="D12" s="2"/>
      <c r="E12" s="2"/>
      <c r="F12" s="2"/>
      <c r="G12" s="2"/>
      <c r="H12" s="2"/>
    </row>
    <row r="13" spans="1:13" x14ac:dyDescent="0.2">
      <c r="A13" t="s">
        <v>9</v>
      </c>
      <c r="B13" s="16"/>
      <c r="C13" s="16">
        <v>243326</v>
      </c>
      <c r="D13" s="16">
        <v>847120</v>
      </c>
      <c r="E13" s="16">
        <v>847673</v>
      </c>
      <c r="F13" s="16">
        <v>526876</v>
      </c>
      <c r="G13" s="16">
        <v>1169822</v>
      </c>
      <c r="H13" s="16">
        <v>1587177</v>
      </c>
      <c r="I13" s="21">
        <f t="shared" ref="I13:I14" si="8">H13-G13</f>
        <v>417355</v>
      </c>
      <c r="J13" s="10">
        <f t="shared" si="3"/>
        <v>0.35676795273127021</v>
      </c>
      <c r="K13" s="21">
        <v>1884154</v>
      </c>
      <c r="L13" s="2">
        <f t="shared" ref="L13:L14" si="9">K13-H13</f>
        <v>296977</v>
      </c>
      <c r="M13" s="10">
        <f t="shared" ref="M13:M14" si="10">L13/H13</f>
        <v>0.18711019627930597</v>
      </c>
    </row>
    <row r="14" spans="1:13" ht="19" x14ac:dyDescent="0.35">
      <c r="A14" t="s">
        <v>10</v>
      </c>
      <c r="B14" s="14">
        <v>92028</v>
      </c>
      <c r="C14" s="14">
        <v>465605</v>
      </c>
      <c r="D14" s="14">
        <v>1089798</v>
      </c>
      <c r="E14" s="14">
        <v>769076</v>
      </c>
      <c r="F14" s="14">
        <v>745383</v>
      </c>
      <c r="G14" s="14">
        <v>1007866</v>
      </c>
      <c r="H14" s="14">
        <v>1371608</v>
      </c>
      <c r="I14" s="21">
        <f t="shared" si="8"/>
        <v>363742</v>
      </c>
      <c r="J14" s="10">
        <f t="shared" si="3"/>
        <v>0.36090313593275297</v>
      </c>
      <c r="K14" s="14">
        <v>1407346</v>
      </c>
      <c r="L14" s="2">
        <f t="shared" si="9"/>
        <v>35738</v>
      </c>
      <c r="M14" s="10">
        <f t="shared" si="10"/>
        <v>2.6055549398953638E-2</v>
      </c>
    </row>
    <row r="15" spans="1:13" ht="19" x14ac:dyDescent="0.35">
      <c r="B15" s="14"/>
      <c r="C15" s="14"/>
      <c r="D15" s="14"/>
      <c r="E15" s="14"/>
      <c r="F15" s="14"/>
      <c r="G15" s="14"/>
      <c r="H15" s="14"/>
    </row>
    <row r="16" spans="1:13" x14ac:dyDescent="0.2">
      <c r="A16" t="s">
        <v>11</v>
      </c>
      <c r="B16" s="16">
        <f t="shared" ref="B16:H16" si="11">B13+B14</f>
        <v>92028</v>
      </c>
      <c r="C16" s="16">
        <f t="shared" si="11"/>
        <v>708931</v>
      </c>
      <c r="D16" s="16">
        <f t="shared" si="11"/>
        <v>1936918</v>
      </c>
      <c r="E16" s="16">
        <f t="shared" si="11"/>
        <v>1616749</v>
      </c>
      <c r="F16" s="16">
        <f t="shared" si="11"/>
        <v>1272259</v>
      </c>
      <c r="G16" s="16">
        <f t="shared" si="11"/>
        <v>2177688</v>
      </c>
      <c r="H16" s="16">
        <f t="shared" si="11"/>
        <v>2958785</v>
      </c>
      <c r="I16" s="21">
        <f>H16-G16</f>
        <v>781097</v>
      </c>
      <c r="J16" s="10">
        <f t="shared" ref="J16" si="12">I16/G16</f>
        <v>0.35868177626914416</v>
      </c>
      <c r="K16" s="16">
        <f t="shared" ref="K16" si="13">K13+K14</f>
        <v>3291500</v>
      </c>
      <c r="L16" s="2">
        <f t="shared" ref="L16" si="14">K16-H16</f>
        <v>332715</v>
      </c>
      <c r="M16" s="10">
        <f t="shared" ref="M16" si="15">L16/H16</f>
        <v>0.11244987385024596</v>
      </c>
    </row>
    <row r="17" spans="1:13" x14ac:dyDescent="0.2">
      <c r="B17" s="2"/>
      <c r="C17" s="2"/>
      <c r="D17" s="2"/>
      <c r="E17" s="2"/>
      <c r="F17" s="2"/>
      <c r="G17" s="2"/>
      <c r="H17" s="2"/>
    </row>
    <row r="18" spans="1:13" ht="17" thickBot="1" x14ac:dyDescent="0.25">
      <c r="A18" t="s">
        <v>95</v>
      </c>
      <c r="B18" s="20">
        <f t="shared" ref="B18:H18" si="16">B11-B16</f>
        <v>413394</v>
      </c>
      <c r="C18" s="20">
        <f t="shared" si="16"/>
        <v>599705</v>
      </c>
      <c r="D18" s="20">
        <f t="shared" si="16"/>
        <v>106710</v>
      </c>
      <c r="E18" s="20">
        <f t="shared" si="16"/>
        <v>529091</v>
      </c>
      <c r="F18" s="20">
        <f t="shared" si="16"/>
        <v>185269</v>
      </c>
      <c r="G18" s="20">
        <f t="shared" si="16"/>
        <v>656264</v>
      </c>
      <c r="H18" s="20">
        <f t="shared" si="16"/>
        <v>-243624</v>
      </c>
      <c r="K18" s="20">
        <f t="shared" ref="K18" si="17">K11-K16</f>
        <v>-569790</v>
      </c>
      <c r="L18" s="2">
        <f t="shared" ref="L18" si="18">K18-H18</f>
        <v>-326166</v>
      </c>
      <c r="M18" s="10">
        <f t="shared" ref="M18" si="19">L18/H18</f>
        <v>1.3388089843365185</v>
      </c>
    </row>
    <row r="19" spans="1:13" ht="17" thickTop="1" x14ac:dyDescent="0.2">
      <c r="A19" t="s">
        <v>115</v>
      </c>
      <c r="B19" s="23">
        <f>B18/B11</f>
        <v>0.81791849187411703</v>
      </c>
      <c r="C19" s="23">
        <f t="shared" ref="C19:H19" si="20">C18/C11</f>
        <v>0.45826723397491742</v>
      </c>
      <c r="D19" s="23">
        <f t="shared" si="20"/>
        <v>5.2215961026175019E-2</v>
      </c>
      <c r="E19" s="23">
        <f t="shared" si="20"/>
        <v>0.24656591358162772</v>
      </c>
      <c r="F19" s="23">
        <f t="shared" si="20"/>
        <v>0.1271117947648347</v>
      </c>
      <c r="G19" s="23">
        <f t="shared" si="20"/>
        <v>0.23157202380280259</v>
      </c>
      <c r="H19" s="23">
        <f t="shared" si="20"/>
        <v>-8.9727275841101142E-2</v>
      </c>
      <c r="K19" s="23">
        <f t="shared" ref="K19" si="21">K18/K11</f>
        <v>-0.20935000422528485</v>
      </c>
    </row>
    <row r="20" spans="1:13" x14ac:dyDescent="0.2">
      <c r="B20" s="23"/>
      <c r="C20" s="23"/>
      <c r="D20" s="23"/>
      <c r="E20" s="23"/>
      <c r="F20" s="23"/>
      <c r="G20" s="23"/>
      <c r="H20" s="23"/>
    </row>
    <row r="21" spans="1:13" x14ac:dyDescent="0.2">
      <c r="A21" t="s">
        <v>126</v>
      </c>
      <c r="B21" s="23">
        <f>B6/B11</f>
        <v>0.87208510907716719</v>
      </c>
      <c r="C21" s="23">
        <f t="shared" ref="C21:H21" si="22">C6/C11</f>
        <v>0.71340770084270955</v>
      </c>
      <c r="D21" s="23">
        <f t="shared" si="22"/>
        <v>0.43375947090174927</v>
      </c>
      <c r="E21" s="23">
        <f t="shared" si="22"/>
        <v>0.62631650076426948</v>
      </c>
      <c r="F21" s="23">
        <f t="shared" si="22"/>
        <v>0.64087962632621809</v>
      </c>
      <c r="G21" s="23">
        <f t="shared" si="22"/>
        <v>0.55101180259933835</v>
      </c>
      <c r="H21" s="23">
        <f t="shared" si="22"/>
        <v>0.57244377036941829</v>
      </c>
      <c r="K21" s="23">
        <f t="shared" ref="K21" si="23">K6/K11</f>
        <v>0.45217418461188003</v>
      </c>
    </row>
    <row r="22" spans="1:13" x14ac:dyDescent="0.2">
      <c r="B22" s="22"/>
      <c r="C22" s="22"/>
      <c r="D22" s="22"/>
      <c r="E22" s="22"/>
      <c r="F22" s="22"/>
      <c r="G22" s="22"/>
      <c r="H22" s="22"/>
    </row>
    <row r="23" spans="1:13" x14ac:dyDescent="0.2">
      <c r="B23" s="2"/>
      <c r="C23" s="2"/>
      <c r="D23" s="2"/>
      <c r="E23" s="2"/>
      <c r="F23" s="2"/>
      <c r="G23" s="2"/>
      <c r="H23" s="2"/>
    </row>
    <row r="24" spans="1:13" x14ac:dyDescent="0.2">
      <c r="A24" t="s">
        <v>12</v>
      </c>
      <c r="B24" s="15">
        <v>1358709</v>
      </c>
      <c r="C24" s="15">
        <v>2202915</v>
      </c>
      <c r="D24" s="15">
        <v>2197517</v>
      </c>
      <c r="E24" s="15">
        <v>2547915</v>
      </c>
      <c r="F24" s="15">
        <v>2825202</v>
      </c>
      <c r="G24" s="15">
        <v>3829690</v>
      </c>
      <c r="H24" s="15">
        <v>3277171</v>
      </c>
      <c r="I24" s="21">
        <f t="shared" ref="I24:I25" si="24">H24-G24</f>
        <v>-552519</v>
      </c>
      <c r="J24" s="10">
        <f t="shared" ref="J24:J25" si="25">I24/G24</f>
        <v>-0.14427251291880022</v>
      </c>
      <c r="K24" s="16">
        <v>3413943</v>
      </c>
      <c r="L24" s="2">
        <f t="shared" ref="L24:L25" si="26">K24-H24</f>
        <v>136772</v>
      </c>
      <c r="M24" s="10">
        <f t="shared" ref="M24:M25" si="27">L24/H24</f>
        <v>4.1734776732736865E-2</v>
      </c>
    </row>
    <row r="25" spans="1:13" ht="19" x14ac:dyDescent="0.35">
      <c r="A25" t="s">
        <v>13</v>
      </c>
      <c r="B25" s="14">
        <v>945315</v>
      </c>
      <c r="C25" s="14">
        <v>1189816</v>
      </c>
      <c r="D25" s="14">
        <v>1162847</v>
      </c>
      <c r="E25" s="14">
        <v>993073</v>
      </c>
      <c r="F25" s="14">
        <v>1112074</v>
      </c>
      <c r="G25" s="14">
        <v>975421</v>
      </c>
      <c r="H25" s="14">
        <v>666599</v>
      </c>
      <c r="I25" s="21">
        <f t="shared" si="24"/>
        <v>-308822</v>
      </c>
      <c r="J25" s="10">
        <f t="shared" si="25"/>
        <v>-0.31660380492115714</v>
      </c>
      <c r="K25" s="14">
        <v>1323161</v>
      </c>
      <c r="L25" s="2">
        <f t="shared" si="26"/>
        <v>656562</v>
      </c>
      <c r="M25" s="10">
        <f t="shared" si="27"/>
        <v>0.9849429717116287</v>
      </c>
    </row>
    <row r="26" spans="1:13" ht="19" x14ac:dyDescent="0.35">
      <c r="B26" s="14"/>
      <c r="C26" s="14"/>
      <c r="D26" s="14"/>
      <c r="E26" s="14"/>
      <c r="F26" s="14"/>
      <c r="G26" s="14"/>
      <c r="H26" s="14"/>
    </row>
    <row r="27" spans="1:13" ht="17" thickBot="1" x14ac:dyDescent="0.25">
      <c r="A27" t="s">
        <v>14</v>
      </c>
      <c r="B27" s="17">
        <f>B24-B25</f>
        <v>413394</v>
      </c>
      <c r="C27" s="17">
        <v>1034670</v>
      </c>
      <c r="D27" s="17">
        <v>1034670</v>
      </c>
      <c r="E27" s="17">
        <f>E24-E25</f>
        <v>1554842</v>
      </c>
      <c r="F27" s="17">
        <f>F24-F25</f>
        <v>1713128</v>
      </c>
      <c r="G27" s="17">
        <f>G24-G25</f>
        <v>2854269</v>
      </c>
      <c r="H27" s="17">
        <f>H24-H25</f>
        <v>2610572</v>
      </c>
      <c r="K27" s="17">
        <f>K24-K25</f>
        <v>2090782</v>
      </c>
      <c r="L27" s="2">
        <f t="shared" ref="L27" si="28">K27-H27</f>
        <v>-519790</v>
      </c>
      <c r="M27" s="10">
        <f t="shared" ref="M27" si="29">L27/H27</f>
        <v>-0.19910962042035232</v>
      </c>
    </row>
    <row r="28" spans="1:13" ht="17" thickTop="1" x14ac:dyDescent="0.2">
      <c r="A28" t="s">
        <v>103</v>
      </c>
      <c r="B28" s="2"/>
      <c r="C28" s="2">
        <v>1013099</v>
      </c>
      <c r="D28" s="2"/>
      <c r="E28" s="2"/>
      <c r="F28" s="2"/>
      <c r="G28" s="2"/>
      <c r="H28" s="2"/>
    </row>
    <row r="29" spans="1:13" x14ac:dyDescent="0.2">
      <c r="B29" s="2"/>
      <c r="C29" s="2">
        <f>C28-C27</f>
        <v>-21571</v>
      </c>
      <c r="D29" s="2"/>
      <c r="E29" s="2"/>
      <c r="F29" s="2"/>
      <c r="G29" s="2"/>
      <c r="H29" s="2"/>
    </row>
    <row r="30" spans="1:13" x14ac:dyDescent="0.2">
      <c r="B30" s="2"/>
      <c r="C30" s="2"/>
      <c r="D30" s="2"/>
      <c r="E30" s="2"/>
      <c r="F30" s="2"/>
      <c r="G30" s="2"/>
      <c r="H30" s="2"/>
    </row>
    <row r="31" spans="1:13" x14ac:dyDescent="0.2">
      <c r="A31" t="s">
        <v>112</v>
      </c>
      <c r="B31" s="16"/>
      <c r="C31" s="16" cm="1">
        <f t="array" ref="C31">SUM(C54:C56/C5)</f>
        <v>5630.7142857142862</v>
      </c>
      <c r="D31" s="16" cm="1">
        <f t="array" ref="D31">SUM(D54:D56/D5)</f>
        <v>22860.228571428572</v>
      </c>
      <c r="E31" s="16"/>
      <c r="F31" s="16" cm="1">
        <f t="array" ref="F31">SUM(F54:F56/F5)</f>
        <v>4405.6190476190477</v>
      </c>
      <c r="G31" s="16" cm="1">
        <f t="array" ref="G31">SUM(G54:G56/G5)</f>
        <v>9316.7547169811314</v>
      </c>
      <c r="H31" s="16" cm="1">
        <f t="array" ref="H31">SUM(H54:H56/H5)</f>
        <v>12883.830188679245</v>
      </c>
      <c r="K31" s="16" cm="1">
        <f t="array" ref="K31">SUM(K54:K56/K5)</f>
        <v>6428.2868525896411</v>
      </c>
    </row>
    <row r="32" spans="1:13" x14ac:dyDescent="0.2">
      <c r="B32" s="2"/>
      <c r="C32" s="2"/>
      <c r="D32" s="2"/>
      <c r="E32" s="2"/>
      <c r="F32" s="2"/>
      <c r="G32" s="2"/>
      <c r="H32" s="2"/>
    </row>
    <row r="33" spans="1:13" x14ac:dyDescent="0.2">
      <c r="A33" t="s">
        <v>15</v>
      </c>
      <c r="B33" s="2"/>
      <c r="C33" s="2"/>
      <c r="D33" s="2"/>
      <c r="E33" s="16">
        <v>80000</v>
      </c>
      <c r="F33" s="16">
        <v>80000</v>
      </c>
      <c r="G33" s="16">
        <v>80000</v>
      </c>
      <c r="H33" s="16">
        <v>94731</v>
      </c>
      <c r="I33" s="21">
        <f>H33-G33</f>
        <v>14731</v>
      </c>
      <c r="J33" s="10">
        <f t="shared" ref="J33" si="30">I33/G33</f>
        <v>0.18413750000000001</v>
      </c>
      <c r="K33" s="21">
        <v>100000</v>
      </c>
      <c r="L33" s="2">
        <f t="shared" ref="L33:L35" si="31">K33-H33</f>
        <v>5269</v>
      </c>
      <c r="M33" s="10">
        <f t="shared" ref="M33:M35" si="32">L33/H33</f>
        <v>5.5620652162438909E-2</v>
      </c>
    </row>
    <row r="34" spans="1:13" x14ac:dyDescent="0.2">
      <c r="A34" t="s">
        <v>16</v>
      </c>
      <c r="B34" s="2"/>
      <c r="C34" s="2"/>
      <c r="D34" s="2"/>
      <c r="E34" s="16"/>
      <c r="F34" s="16"/>
      <c r="G34" s="16"/>
      <c r="H34" s="16">
        <v>28200</v>
      </c>
      <c r="K34" s="2">
        <v>33300</v>
      </c>
      <c r="L34" s="2">
        <f t="shared" si="31"/>
        <v>5100</v>
      </c>
      <c r="M34" s="10">
        <f t="shared" si="32"/>
        <v>0.18085106382978725</v>
      </c>
    </row>
    <row r="35" spans="1:13" x14ac:dyDescent="0.2">
      <c r="A35" t="s">
        <v>17</v>
      </c>
      <c r="B35" s="2"/>
      <c r="C35" s="2"/>
      <c r="D35" s="2"/>
      <c r="E35" s="16"/>
      <c r="F35" s="16"/>
      <c r="G35" s="16"/>
      <c r="H35" s="16">
        <v>94539</v>
      </c>
      <c r="K35" s="2">
        <v>100000</v>
      </c>
      <c r="L35" s="2">
        <f t="shared" si="31"/>
        <v>5461</v>
      </c>
      <c r="M35" s="10">
        <f t="shared" si="32"/>
        <v>5.7764520462454651E-2</v>
      </c>
    </row>
    <row r="36" spans="1:13" x14ac:dyDescent="0.2">
      <c r="B36" s="2"/>
      <c r="C36" s="2"/>
      <c r="D36" s="2"/>
      <c r="E36" s="16"/>
      <c r="F36" s="16"/>
      <c r="G36" s="16"/>
      <c r="H36" s="16"/>
    </row>
    <row r="37" spans="1:13" x14ac:dyDescent="0.2">
      <c r="A37" t="s">
        <v>117</v>
      </c>
      <c r="B37" s="2"/>
      <c r="C37" s="2"/>
      <c r="D37" s="2"/>
      <c r="E37" s="2"/>
      <c r="F37" s="2"/>
    </row>
    <row r="38" spans="1:13" x14ac:dyDescent="0.2">
      <c r="A38" t="s">
        <v>15</v>
      </c>
      <c r="B38" s="2">
        <v>20</v>
      </c>
      <c r="C38" s="2">
        <v>40</v>
      </c>
      <c r="D38" s="2">
        <v>40</v>
      </c>
      <c r="E38" s="2">
        <v>40</v>
      </c>
      <c r="F38" s="2">
        <v>40</v>
      </c>
      <c r="G38" s="2">
        <v>40</v>
      </c>
      <c r="H38" s="2">
        <v>40</v>
      </c>
      <c r="K38" s="2">
        <v>40</v>
      </c>
    </row>
    <row r="39" spans="1:13" x14ac:dyDescent="0.2">
      <c r="A39" t="s">
        <v>16</v>
      </c>
      <c r="B39" s="1">
        <v>1.25</v>
      </c>
      <c r="C39" s="2">
        <v>15</v>
      </c>
      <c r="D39" s="2">
        <v>15</v>
      </c>
      <c r="E39" s="2">
        <v>15</v>
      </c>
      <c r="F39" s="2">
        <v>20</v>
      </c>
      <c r="G39" s="2">
        <v>15</v>
      </c>
      <c r="H39" s="2">
        <v>10</v>
      </c>
      <c r="K39" s="2">
        <v>10</v>
      </c>
    </row>
    <row r="40" spans="1:13" x14ac:dyDescent="0.2">
      <c r="A40" t="s">
        <v>17</v>
      </c>
      <c r="B40" s="2"/>
      <c r="C40" s="2"/>
      <c r="D40" s="2"/>
      <c r="E40" s="2"/>
      <c r="F40" s="2"/>
      <c r="G40" s="2"/>
      <c r="H40" s="2">
        <v>40</v>
      </c>
      <c r="K40" s="2">
        <v>40</v>
      </c>
    </row>
    <row r="41" spans="1:13" x14ac:dyDescent="0.2">
      <c r="B41" s="2"/>
      <c r="C41" s="2"/>
      <c r="D41" s="2"/>
      <c r="E41" s="16"/>
      <c r="F41" s="16"/>
      <c r="G41" s="16"/>
      <c r="H41" s="16"/>
    </row>
    <row r="42" spans="1:13" x14ac:dyDescent="0.2">
      <c r="A42" t="s">
        <v>116</v>
      </c>
      <c r="B42" s="2"/>
      <c r="C42" s="2"/>
      <c r="D42" s="2"/>
      <c r="E42" s="16"/>
      <c r="F42" s="16"/>
      <c r="G42" s="16"/>
      <c r="H42" s="16"/>
    </row>
    <row r="43" spans="1:13" x14ac:dyDescent="0.2">
      <c r="A43" t="s">
        <v>15</v>
      </c>
      <c r="B43" s="2"/>
      <c r="C43" s="2"/>
      <c r="D43" s="2"/>
      <c r="E43" s="16">
        <f t="shared" ref="E43:F43" si="33">E33/(E38*52)</f>
        <v>38.46153846153846</v>
      </c>
      <c r="F43" s="16">
        <f t="shared" si="33"/>
        <v>38.46153846153846</v>
      </c>
      <c r="G43" s="16">
        <f>G33/(G38*52)</f>
        <v>38.46153846153846</v>
      </c>
      <c r="H43" s="16">
        <f>H33/(H38*52)</f>
        <v>45.543750000000003</v>
      </c>
      <c r="K43" s="16">
        <f t="shared" ref="K43:K45" si="34">K33/(K38*52)</f>
        <v>48.07692307692308</v>
      </c>
    </row>
    <row r="44" spans="1:13" x14ac:dyDescent="0.2">
      <c r="A44" t="s">
        <v>16</v>
      </c>
      <c r="B44" s="2"/>
      <c r="C44" s="2"/>
      <c r="D44" s="2"/>
      <c r="E44" s="16"/>
      <c r="F44" s="16"/>
      <c r="G44" s="16"/>
      <c r="H44" s="16">
        <f>H34/(H39*52)</f>
        <v>54.230769230769234</v>
      </c>
      <c r="K44" s="16">
        <f t="shared" si="34"/>
        <v>64.038461538461533</v>
      </c>
    </row>
    <row r="45" spans="1:13" x14ac:dyDescent="0.2">
      <c r="A45" t="s">
        <v>17</v>
      </c>
      <c r="B45" s="2"/>
      <c r="C45" s="2"/>
      <c r="D45" s="2"/>
      <c r="E45" s="16"/>
      <c r="F45" s="16"/>
      <c r="G45" s="16"/>
      <c r="H45" s="16">
        <f>H35/(H40*52)</f>
        <v>45.451442307692311</v>
      </c>
      <c r="K45" s="16">
        <f t="shared" si="34"/>
        <v>48.07692307692308</v>
      </c>
    </row>
    <row r="46" spans="1:13" x14ac:dyDescent="0.2">
      <c r="B46" s="2"/>
      <c r="C46" s="2"/>
      <c r="D46" s="2"/>
      <c r="E46" s="16"/>
      <c r="F46" s="16"/>
      <c r="G46" s="16"/>
      <c r="H46" s="16"/>
    </row>
    <row r="47" spans="1:13" x14ac:dyDescent="0.2">
      <c r="B47" s="2"/>
      <c r="C47" s="2"/>
      <c r="D47" s="2"/>
      <c r="E47" s="2"/>
      <c r="F47" s="2"/>
    </row>
    <row r="48" spans="1:13" x14ac:dyDescent="0.2">
      <c r="A48" t="s">
        <v>18</v>
      </c>
      <c r="B48" s="16">
        <v>0</v>
      </c>
      <c r="C48" s="16">
        <v>0</v>
      </c>
      <c r="D48" s="16">
        <v>0</v>
      </c>
      <c r="E48" s="16">
        <v>0</v>
      </c>
      <c r="F48" s="16">
        <v>236941</v>
      </c>
      <c r="G48" s="16">
        <v>315597</v>
      </c>
      <c r="H48" s="16">
        <v>285515</v>
      </c>
      <c r="I48" s="21">
        <f>H48-G48</f>
        <v>-30082</v>
      </c>
      <c r="J48" s="10">
        <f t="shared" ref="J48:J50" si="35">I48/G48</f>
        <v>-9.5317762843119547E-2</v>
      </c>
      <c r="K48" s="21">
        <v>35822</v>
      </c>
      <c r="L48" s="2">
        <f t="shared" ref="L48:L49" si="36">K48-H48</f>
        <v>-249693</v>
      </c>
      <c r="M48" s="10">
        <f t="shared" ref="M48:M49" si="37">L48/H48</f>
        <v>-0.87453548850323104</v>
      </c>
    </row>
    <row r="49" spans="1:13" ht="19" x14ac:dyDescent="0.35">
      <c r="A49" t="s">
        <v>19</v>
      </c>
      <c r="B49" s="14">
        <f>60401+380370</f>
        <v>440771</v>
      </c>
      <c r="C49" s="14">
        <v>933591</v>
      </c>
      <c r="D49" s="14">
        <v>886443</v>
      </c>
      <c r="E49" s="14">
        <v>1343975</v>
      </c>
      <c r="F49" s="14">
        <v>697159</v>
      </c>
      <c r="G49" s="14">
        <v>1245944</v>
      </c>
      <c r="H49" s="14">
        <v>1268762</v>
      </c>
      <c r="I49" s="21">
        <f>H49-G49</f>
        <v>22818</v>
      </c>
      <c r="J49" s="10">
        <f t="shared" si="35"/>
        <v>1.8313824698381307E-2</v>
      </c>
      <c r="K49" s="14">
        <v>1194865</v>
      </c>
      <c r="L49" s="2">
        <f t="shared" si="36"/>
        <v>-73897</v>
      </c>
      <c r="M49" s="10">
        <f t="shared" si="37"/>
        <v>-5.824339001325702E-2</v>
      </c>
    </row>
    <row r="50" spans="1:13" x14ac:dyDescent="0.2">
      <c r="A50" t="s">
        <v>113</v>
      </c>
      <c r="B50" s="16">
        <f>B49+B48</f>
        <v>440771</v>
      </c>
      <c r="C50" s="16">
        <f t="shared" ref="C50:H50" si="38">C49+C48</f>
        <v>933591</v>
      </c>
      <c r="D50" s="16">
        <f t="shared" si="38"/>
        <v>886443</v>
      </c>
      <c r="E50" s="16">
        <f t="shared" si="38"/>
        <v>1343975</v>
      </c>
      <c r="F50" s="16">
        <f t="shared" si="38"/>
        <v>934100</v>
      </c>
      <c r="G50" s="16">
        <f t="shared" si="38"/>
        <v>1561541</v>
      </c>
      <c r="H50" s="16">
        <f t="shared" si="38"/>
        <v>1554277</v>
      </c>
      <c r="I50" s="21">
        <f>H50-G50</f>
        <v>-7264</v>
      </c>
      <c r="J50" s="10">
        <f t="shared" si="35"/>
        <v>-4.6518150980345693E-3</v>
      </c>
      <c r="K50" s="16">
        <f t="shared" ref="K50" si="39">K49+K48</f>
        <v>1230687</v>
      </c>
      <c r="L50" s="2">
        <f t="shared" ref="L50" si="40">K50-H50</f>
        <v>-323590</v>
      </c>
      <c r="M50" s="10">
        <f t="shared" ref="M50" si="41">L50/H50</f>
        <v>-0.20819326284825679</v>
      </c>
    </row>
    <row r="51" spans="1:13" x14ac:dyDescent="0.2">
      <c r="A51" t="s">
        <v>114</v>
      </c>
      <c r="B51" s="10">
        <f>B50/B11</f>
        <v>0.87208510907716719</v>
      </c>
      <c r="C51" s="10">
        <f t="shared" ref="C51:H51" si="42">C50/C11</f>
        <v>0.71340770084270955</v>
      </c>
      <c r="D51" s="10">
        <f t="shared" si="42"/>
        <v>0.43375947090174927</v>
      </c>
      <c r="E51" s="10">
        <f t="shared" si="42"/>
        <v>0.62631650076426948</v>
      </c>
      <c r="F51" s="10">
        <f t="shared" si="42"/>
        <v>0.64087962632621809</v>
      </c>
      <c r="G51" s="10">
        <f t="shared" si="42"/>
        <v>0.55101180259933835</v>
      </c>
      <c r="H51" s="10">
        <f t="shared" si="42"/>
        <v>0.57244377036941829</v>
      </c>
      <c r="K51" s="10">
        <f t="shared" ref="K51" si="43">K50/K11</f>
        <v>0.45217418461188003</v>
      </c>
    </row>
    <row r="52" spans="1:13" x14ac:dyDescent="0.2">
      <c r="B52" s="2"/>
      <c r="C52" s="2"/>
      <c r="D52" s="2"/>
      <c r="E52" s="2"/>
      <c r="F52" s="2"/>
    </row>
    <row r="53" spans="1:13" x14ac:dyDescent="0.2">
      <c r="A53" t="s">
        <v>77</v>
      </c>
      <c r="B53" s="2"/>
      <c r="C53" s="2"/>
      <c r="D53" s="2"/>
      <c r="E53" s="2"/>
      <c r="F53" s="2"/>
    </row>
    <row r="54" spans="1:13" x14ac:dyDescent="0.2">
      <c r="A54" t="s">
        <v>104</v>
      </c>
      <c r="B54" s="16">
        <v>0</v>
      </c>
      <c r="C54" s="16">
        <v>15614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</row>
    <row r="55" spans="1:13" x14ac:dyDescent="0.2">
      <c r="A55" t="s">
        <v>105</v>
      </c>
      <c r="B55" s="2"/>
      <c r="C55" s="2">
        <v>2351</v>
      </c>
      <c r="D55" s="2"/>
      <c r="E55" s="2"/>
      <c r="F55" s="2"/>
    </row>
    <row r="56" spans="1:13" s="2" customFormat="1" x14ac:dyDescent="0.2">
      <c r="A56" s="2" t="s">
        <v>62</v>
      </c>
      <c r="C56" s="2">
        <v>179110</v>
      </c>
      <c r="D56" s="2">
        <v>800108</v>
      </c>
      <c r="E56" s="2">
        <v>724551</v>
      </c>
      <c r="F56" s="2">
        <v>462590</v>
      </c>
      <c r="G56" s="2">
        <v>987576</v>
      </c>
      <c r="H56" s="2">
        <v>1365686</v>
      </c>
      <c r="I56" s="21">
        <f>H56-G56</f>
        <v>378110</v>
      </c>
      <c r="J56" s="10">
        <f t="shared" ref="J56" si="44">I56/G56</f>
        <v>0.38286673633219115</v>
      </c>
      <c r="K56" s="2">
        <v>1613500</v>
      </c>
      <c r="L56" s="2">
        <f t="shared" ref="L56" si="45">K56-H56</f>
        <v>247814</v>
      </c>
      <c r="M56" s="10">
        <f t="shared" ref="M56" si="46">L56/H56</f>
        <v>0.18145752391106007</v>
      </c>
    </row>
    <row r="57" spans="1:13" s="2" customFormat="1" x14ac:dyDescent="0.2">
      <c r="A57" s="2" t="s">
        <v>89</v>
      </c>
      <c r="C57" s="2">
        <v>355</v>
      </c>
      <c r="F57" s="2">
        <v>1318</v>
      </c>
    </row>
    <row r="58" spans="1:13" s="2" customFormat="1" x14ac:dyDescent="0.2">
      <c r="A58" s="2" t="s">
        <v>90</v>
      </c>
      <c r="C58" s="2">
        <v>19690</v>
      </c>
      <c r="E58" s="2">
        <v>62637</v>
      </c>
      <c r="F58" s="2">
        <v>30392</v>
      </c>
    </row>
    <row r="59" spans="1:13" s="2" customFormat="1" x14ac:dyDescent="0.2">
      <c r="A59" s="2" t="s">
        <v>63</v>
      </c>
      <c r="C59" s="2">
        <v>26206</v>
      </c>
      <c r="D59" s="2">
        <v>47012</v>
      </c>
      <c r="E59" s="2">
        <v>58485</v>
      </c>
      <c r="F59" s="2">
        <v>32576</v>
      </c>
      <c r="G59" s="2">
        <v>182246</v>
      </c>
      <c r="H59" s="2">
        <v>221491</v>
      </c>
      <c r="I59" s="21">
        <f>H59-G59</f>
        <v>39245</v>
      </c>
      <c r="J59" s="10">
        <f t="shared" ref="J59:J60" si="47">I59/G59</f>
        <v>0.21534080309032846</v>
      </c>
      <c r="K59" s="2">
        <v>270654</v>
      </c>
      <c r="L59" s="2">
        <f t="shared" ref="L59:L60" si="48">K59-H59</f>
        <v>49163</v>
      </c>
      <c r="M59" s="10">
        <f t="shared" ref="M59:M60" si="49">L59/H59</f>
        <v>0.22196387212121485</v>
      </c>
    </row>
    <row r="60" spans="1:13" s="2" customFormat="1" x14ac:dyDescent="0.2">
      <c r="A60" s="2" t="s">
        <v>64</v>
      </c>
      <c r="F60" s="2">
        <v>20150</v>
      </c>
      <c r="G60" s="2">
        <v>143797</v>
      </c>
      <c r="H60" s="2">
        <v>136780</v>
      </c>
      <c r="I60" s="21">
        <f>H60-G60</f>
        <v>-7017</v>
      </c>
      <c r="J60" s="10">
        <f t="shared" si="47"/>
        <v>-4.8797958232786501E-2</v>
      </c>
      <c r="K60" s="2">
        <v>147335</v>
      </c>
      <c r="L60" s="2">
        <f t="shared" si="48"/>
        <v>10555</v>
      </c>
      <c r="M60" s="10">
        <f t="shared" si="49"/>
        <v>7.7167714578154703E-2</v>
      </c>
    </row>
    <row r="61" spans="1:13" s="2" customFormat="1" x14ac:dyDescent="0.2">
      <c r="A61" s="2" t="s">
        <v>127</v>
      </c>
      <c r="I61" s="21"/>
      <c r="J61" s="10"/>
      <c r="K61" s="2">
        <v>18863</v>
      </c>
    </row>
    <row r="62" spans="1:13" s="2" customFormat="1" x14ac:dyDescent="0.2">
      <c r="A62" s="2" t="s">
        <v>96</v>
      </c>
      <c r="D62" s="2">
        <v>13292</v>
      </c>
      <c r="E62" s="2">
        <v>29588</v>
      </c>
    </row>
    <row r="63" spans="1:13" s="2" customFormat="1" x14ac:dyDescent="0.2">
      <c r="A63" s="2" t="s">
        <v>97</v>
      </c>
      <c r="B63" s="2">
        <v>34895</v>
      </c>
      <c r="C63" s="2">
        <v>126896</v>
      </c>
      <c r="E63" s="2">
        <v>64800</v>
      </c>
    </row>
    <row r="64" spans="1:13" s="2" customFormat="1" x14ac:dyDescent="0.2">
      <c r="A64" s="2" t="s">
        <v>65</v>
      </c>
      <c r="B64" s="2">
        <v>606</v>
      </c>
      <c r="C64" s="2">
        <v>15237</v>
      </c>
      <c r="D64" s="2">
        <v>49989</v>
      </c>
      <c r="E64" s="2">
        <v>53076</v>
      </c>
      <c r="F64" s="2">
        <v>22936</v>
      </c>
      <c r="H64" s="2">
        <v>67443</v>
      </c>
      <c r="I64" s="21">
        <f t="shared" ref="I64:I68" si="50">H64-G64</f>
        <v>67443</v>
      </c>
      <c r="J64" s="10"/>
      <c r="K64" s="2">
        <v>102224</v>
      </c>
      <c r="L64" s="2">
        <f t="shared" ref="L64:L73" si="51">K64-H64</f>
        <v>34781</v>
      </c>
      <c r="M64" s="10">
        <f t="shared" ref="M64:M73" si="52">L64/H64</f>
        <v>0.5157095621487775</v>
      </c>
    </row>
    <row r="65" spans="1:13" s="2" customFormat="1" x14ac:dyDescent="0.2">
      <c r="A65" s="2" t="s">
        <v>66</v>
      </c>
      <c r="B65" s="2">
        <v>1618</v>
      </c>
      <c r="C65" s="2">
        <v>50325</v>
      </c>
      <c r="F65" s="2">
        <v>4173</v>
      </c>
      <c r="H65" s="2">
        <v>40178</v>
      </c>
      <c r="I65" s="21">
        <f t="shared" si="50"/>
        <v>40178</v>
      </c>
      <c r="J65" s="10"/>
      <c r="K65" s="2">
        <v>44655</v>
      </c>
      <c r="L65" s="2">
        <f t="shared" si="51"/>
        <v>4477</v>
      </c>
      <c r="M65" s="10">
        <f t="shared" si="52"/>
        <v>0.11142914032555129</v>
      </c>
    </row>
    <row r="66" spans="1:13" s="2" customFormat="1" x14ac:dyDescent="0.2">
      <c r="A66" s="2" t="s">
        <v>67</v>
      </c>
      <c r="B66" s="2">
        <v>2725</v>
      </c>
      <c r="C66" s="2">
        <v>9874</v>
      </c>
      <c r="F66" s="2">
        <v>5845</v>
      </c>
      <c r="G66" s="2">
        <v>21113</v>
      </c>
      <c r="H66" s="2">
        <v>29782</v>
      </c>
      <c r="I66" s="21">
        <f t="shared" si="50"/>
        <v>8669</v>
      </c>
      <c r="J66" s="10">
        <f t="shared" ref="J66:J67" si="53">I66/G66</f>
        <v>0.41060010420120308</v>
      </c>
      <c r="K66" s="2">
        <v>22856</v>
      </c>
      <c r="L66" s="2">
        <f t="shared" si="51"/>
        <v>-6926</v>
      </c>
      <c r="M66" s="10">
        <f t="shared" si="52"/>
        <v>-0.23255657779867034</v>
      </c>
    </row>
    <row r="67" spans="1:13" s="2" customFormat="1" x14ac:dyDescent="0.2">
      <c r="A67" s="2" t="s">
        <v>68</v>
      </c>
      <c r="C67" s="2">
        <v>17519</v>
      </c>
      <c r="D67" s="2">
        <v>70068</v>
      </c>
      <c r="E67" s="2">
        <v>63650</v>
      </c>
      <c r="G67" s="2">
        <v>91163</v>
      </c>
      <c r="H67" s="2">
        <v>68910</v>
      </c>
      <c r="I67" s="21">
        <f t="shared" si="50"/>
        <v>-22253</v>
      </c>
      <c r="J67" s="10">
        <f t="shared" si="53"/>
        <v>-0.24410122527779909</v>
      </c>
      <c r="K67" s="2">
        <v>103768</v>
      </c>
      <c r="L67" s="2">
        <f t="shared" si="51"/>
        <v>34858</v>
      </c>
      <c r="M67" s="10">
        <f t="shared" si="52"/>
        <v>0.5058482078072849</v>
      </c>
    </row>
    <row r="68" spans="1:13" s="2" customFormat="1" x14ac:dyDescent="0.2">
      <c r="A68" s="2" t="s">
        <v>69</v>
      </c>
      <c r="B68" s="2">
        <v>17937</v>
      </c>
      <c r="C68" s="2">
        <v>13676</v>
      </c>
      <c r="D68" s="2">
        <v>20063</v>
      </c>
      <c r="E68" s="2">
        <v>30320</v>
      </c>
      <c r="F68" s="2">
        <v>6328</v>
      </c>
      <c r="H68" s="2">
        <v>6035</v>
      </c>
      <c r="I68" s="21">
        <f t="shared" si="50"/>
        <v>6035</v>
      </c>
      <c r="J68" s="10"/>
      <c r="K68" s="2">
        <v>11847</v>
      </c>
      <c r="L68" s="2">
        <f t="shared" si="51"/>
        <v>5812</v>
      </c>
      <c r="M68" s="10">
        <f t="shared" si="52"/>
        <v>0.96304888152444079</v>
      </c>
    </row>
    <row r="69" spans="1:13" s="2" customFormat="1" x14ac:dyDescent="0.2">
      <c r="A69" s="2" t="s">
        <v>70</v>
      </c>
      <c r="B69" s="2">
        <v>1266</v>
      </c>
      <c r="C69" s="2">
        <v>19856</v>
      </c>
      <c r="D69" s="2">
        <v>17447</v>
      </c>
      <c r="E69" s="2">
        <v>13342</v>
      </c>
      <c r="F69" s="2">
        <v>36761</v>
      </c>
      <c r="G69" s="2">
        <v>52448</v>
      </c>
      <c r="H69" s="2">
        <v>133081</v>
      </c>
      <c r="I69" s="21">
        <f>H69-G69</f>
        <v>80633</v>
      </c>
      <c r="J69" s="10">
        <f t="shared" ref="J69" si="54">I69/G69</f>
        <v>1.5373894142769982</v>
      </c>
      <c r="K69" s="2">
        <v>167898</v>
      </c>
      <c r="L69" s="2">
        <f t="shared" si="51"/>
        <v>34817</v>
      </c>
      <c r="M69" s="10">
        <f t="shared" si="52"/>
        <v>0.26162262080988269</v>
      </c>
    </row>
    <row r="70" spans="1:13" s="2" customFormat="1" x14ac:dyDescent="0.2">
      <c r="A70" s="2" t="s">
        <v>71</v>
      </c>
      <c r="C70" s="2">
        <v>30417</v>
      </c>
      <c r="D70" s="2">
        <v>61273</v>
      </c>
      <c r="E70" s="2">
        <v>29072</v>
      </c>
      <c r="F70" s="2">
        <v>26099</v>
      </c>
      <c r="G70" s="2">
        <v>31605</v>
      </c>
      <c r="H70" s="2">
        <v>53747</v>
      </c>
      <c r="I70" s="21">
        <f t="shared" ref="I70:I73" si="55">H70-G70</f>
        <v>22142</v>
      </c>
      <c r="J70" s="10">
        <f t="shared" ref="J70:J73" si="56">I70/G70</f>
        <v>0.70058535041923742</v>
      </c>
      <c r="K70" s="2">
        <v>33766</v>
      </c>
      <c r="L70" s="2">
        <f t="shared" si="51"/>
        <v>-19981</v>
      </c>
      <c r="M70" s="10">
        <f t="shared" si="52"/>
        <v>-0.3717602842949374</v>
      </c>
    </row>
    <row r="71" spans="1:13" s="2" customFormat="1" x14ac:dyDescent="0.2">
      <c r="A71" s="2" t="s">
        <v>72</v>
      </c>
      <c r="D71" s="2">
        <v>140625</v>
      </c>
      <c r="E71" s="2">
        <v>161643</v>
      </c>
      <c r="F71" s="2">
        <v>164063</v>
      </c>
      <c r="G71" s="2">
        <v>172309</v>
      </c>
      <c r="H71" s="2">
        <v>148525</v>
      </c>
      <c r="I71" s="21">
        <f t="shared" si="55"/>
        <v>-23784</v>
      </c>
      <c r="J71" s="10">
        <f t="shared" si="56"/>
        <v>-0.13803109529972318</v>
      </c>
      <c r="K71" s="2">
        <v>134169</v>
      </c>
      <c r="L71" s="2">
        <f t="shared" si="51"/>
        <v>-14356</v>
      </c>
      <c r="M71" s="10">
        <f t="shared" si="52"/>
        <v>-9.6657128429557315E-2</v>
      </c>
    </row>
    <row r="72" spans="1:13" s="2" customFormat="1" x14ac:dyDescent="0.2">
      <c r="A72" s="2" t="s">
        <v>73</v>
      </c>
      <c r="B72" s="2">
        <v>1430</v>
      </c>
      <c r="C72" s="2">
        <v>2905</v>
      </c>
      <c r="D72" s="2">
        <v>25303</v>
      </c>
      <c r="E72" s="2">
        <v>8885</v>
      </c>
      <c r="F72" s="2">
        <v>27004</v>
      </c>
      <c r="H72" s="2">
        <v>28642</v>
      </c>
      <c r="I72" s="21">
        <f t="shared" si="55"/>
        <v>28642</v>
      </c>
      <c r="J72" s="10"/>
      <c r="K72" s="2">
        <v>20324</v>
      </c>
      <c r="L72" s="2">
        <f t="shared" si="51"/>
        <v>-8318</v>
      </c>
      <c r="M72" s="10">
        <f t="shared" si="52"/>
        <v>-0.29041268067872356</v>
      </c>
    </row>
    <row r="73" spans="1:13" s="2" customFormat="1" x14ac:dyDescent="0.2">
      <c r="A73" s="2" t="s">
        <v>91</v>
      </c>
      <c r="B73" s="2">
        <f>2096+1807</f>
        <v>3903</v>
      </c>
      <c r="C73" s="2">
        <v>127854</v>
      </c>
      <c r="D73" s="2">
        <v>475878</v>
      </c>
      <c r="E73" s="2">
        <v>236479</v>
      </c>
      <c r="F73" s="2">
        <v>306012</v>
      </c>
      <c r="G73" s="2">
        <v>208642</v>
      </c>
      <c r="H73" s="2">
        <v>383316</v>
      </c>
      <c r="I73" s="21">
        <f t="shared" si="55"/>
        <v>174674</v>
      </c>
      <c r="J73" s="10">
        <f t="shared" si="56"/>
        <v>0.83719481216629443</v>
      </c>
      <c r="K73" s="2">
        <v>407304</v>
      </c>
      <c r="L73" s="2">
        <f t="shared" si="51"/>
        <v>23988</v>
      </c>
      <c r="M73" s="10">
        <f t="shared" si="52"/>
        <v>6.2580221018689541E-2</v>
      </c>
    </row>
    <row r="74" spans="1:13" s="2" customFormat="1" x14ac:dyDescent="0.2">
      <c r="A74" s="2" t="s">
        <v>100</v>
      </c>
      <c r="D74" s="2">
        <v>172317</v>
      </c>
    </row>
    <row r="75" spans="1:13" s="2" customFormat="1" x14ac:dyDescent="0.2">
      <c r="A75" s="2" t="s">
        <v>101</v>
      </c>
      <c r="D75" s="2">
        <v>31024</v>
      </c>
    </row>
    <row r="76" spans="1:13" s="2" customFormat="1" x14ac:dyDescent="0.2">
      <c r="A76" s="2" t="s">
        <v>92</v>
      </c>
      <c r="F76" s="2">
        <v>104885</v>
      </c>
    </row>
    <row r="77" spans="1:13" s="2" customFormat="1" x14ac:dyDescent="0.2">
      <c r="A77" s="2" t="s">
        <v>74</v>
      </c>
      <c r="H77" s="2">
        <v>100000</v>
      </c>
      <c r="I77" s="21">
        <f t="shared" ref="I77:I78" si="57">H77-G77</f>
        <v>100000</v>
      </c>
      <c r="J77" s="10"/>
    </row>
    <row r="78" spans="1:13" s="2" customFormat="1" x14ac:dyDescent="0.2">
      <c r="A78" s="2" t="s">
        <v>75</v>
      </c>
      <c r="B78" s="2">
        <v>15062</v>
      </c>
      <c r="C78" s="2">
        <v>17104</v>
      </c>
      <c r="G78" s="2">
        <v>86290</v>
      </c>
      <c r="H78" s="2">
        <v>82380</v>
      </c>
      <c r="I78" s="21">
        <f t="shared" si="57"/>
        <v>-3910</v>
      </c>
      <c r="J78" s="10">
        <f t="shared" ref="J78" si="58">I78/G78</f>
        <v>-4.5312318924556727E-2</v>
      </c>
      <c r="K78" s="2">
        <v>110396</v>
      </c>
      <c r="L78" s="2">
        <f t="shared" ref="L78" si="59">K78-H78</f>
        <v>28016</v>
      </c>
      <c r="M78" s="10">
        <f t="shared" ref="M78" si="60">L78/H78</f>
        <v>0.34008254430687063</v>
      </c>
    </row>
    <row r="79" spans="1:13" s="2" customFormat="1" x14ac:dyDescent="0.2">
      <c r="A79" s="2" t="s">
        <v>78</v>
      </c>
      <c r="G79" s="2">
        <v>67994</v>
      </c>
    </row>
    <row r="80" spans="1:13" s="2" customFormat="1" x14ac:dyDescent="0.2">
      <c r="A80" s="2" t="s">
        <v>93</v>
      </c>
      <c r="E80" s="2">
        <v>20526</v>
      </c>
      <c r="F80" s="2">
        <v>13565</v>
      </c>
      <c r="G80" s="2">
        <v>57671</v>
      </c>
      <c r="H80" s="2">
        <v>47185</v>
      </c>
      <c r="I80" s="21">
        <f t="shared" ref="I80" si="61">H80-G80</f>
        <v>-10486</v>
      </c>
      <c r="J80" s="10">
        <f t="shared" ref="J80" si="62">I80/G80</f>
        <v>-0.18182448717726413</v>
      </c>
      <c r="K80" s="2">
        <v>65322</v>
      </c>
      <c r="L80" s="2">
        <f t="shared" ref="L80" si="63">K80-H80</f>
        <v>18137</v>
      </c>
      <c r="M80" s="10">
        <f t="shared" ref="M80" si="64">L80/H80</f>
        <v>0.38438062943732121</v>
      </c>
    </row>
    <row r="81" spans="1:13" s="2" customFormat="1" x14ac:dyDescent="0.2">
      <c r="A81" s="2" t="s">
        <v>94</v>
      </c>
      <c r="D81" s="2">
        <v>10127</v>
      </c>
      <c r="E81" s="2">
        <v>22788</v>
      </c>
      <c r="F81" s="2">
        <v>4305</v>
      </c>
    </row>
    <row r="82" spans="1:13" s="2" customFormat="1" x14ac:dyDescent="0.2">
      <c r="A82" s="2" t="s">
        <v>106</v>
      </c>
      <c r="B82" s="2">
        <v>12586</v>
      </c>
      <c r="C82" s="2">
        <v>15654</v>
      </c>
    </row>
    <row r="83" spans="1:13" s="2" customFormat="1" x14ac:dyDescent="0.2">
      <c r="A83" s="2" t="s">
        <v>107</v>
      </c>
      <c r="C83" s="2">
        <v>14250</v>
      </c>
    </row>
    <row r="84" spans="1:13" s="2" customFormat="1" x14ac:dyDescent="0.2">
      <c r="A84" s="2" t="s">
        <v>98</v>
      </c>
      <c r="D84" s="2">
        <v>2392</v>
      </c>
      <c r="E84" s="2">
        <v>20180</v>
      </c>
    </row>
    <row r="85" spans="1:13" s="2" customFormat="1" x14ac:dyDescent="0.2">
      <c r="A85" s="2" t="s">
        <v>128</v>
      </c>
      <c r="K85" s="2">
        <v>16619</v>
      </c>
    </row>
    <row r="86" spans="1:13" s="2" customFormat="1" ht="19" x14ac:dyDescent="0.35">
      <c r="A86" s="2" t="s">
        <v>76</v>
      </c>
      <c r="B86" s="14">
        <v>0</v>
      </c>
      <c r="C86" s="14">
        <v>4038</v>
      </c>
      <c r="D86" s="14">
        <v>0</v>
      </c>
      <c r="E86" s="14">
        <v>14727</v>
      </c>
      <c r="F86" s="14">
        <v>3257</v>
      </c>
      <c r="G86" s="14">
        <v>74834</v>
      </c>
      <c r="H86" s="14">
        <v>45676</v>
      </c>
      <c r="I86" s="21">
        <f t="shared" ref="I86" si="65">H86-G86</f>
        <v>-29158</v>
      </c>
      <c r="J86" s="10">
        <f t="shared" ref="J86" si="66">I86/G86</f>
        <v>-0.38963572707592803</v>
      </c>
      <c r="K86" s="14">
        <v>0</v>
      </c>
    </row>
    <row r="87" spans="1:13" s="2" customFormat="1" x14ac:dyDescent="0.2"/>
    <row r="88" spans="1:13" s="2" customFormat="1" x14ac:dyDescent="0.2">
      <c r="A88" s="2" t="s">
        <v>11</v>
      </c>
      <c r="B88" s="16">
        <f>SUM(B54:B86)</f>
        <v>92028</v>
      </c>
      <c r="C88" s="16">
        <f>SUM(C54:C86)</f>
        <v>708931</v>
      </c>
      <c r="D88" s="16">
        <f>SUM(D56:D86)</f>
        <v>1936918</v>
      </c>
      <c r="E88" s="16">
        <f>SUM(E56:E86)</f>
        <v>1614749</v>
      </c>
      <c r="F88" s="16">
        <f>SUM(F56:F86)</f>
        <v>1272259</v>
      </c>
      <c r="G88" s="16">
        <f>SUM(G56:G86)</f>
        <v>2177688</v>
      </c>
      <c r="H88" s="16">
        <f>SUM(H56:H86)</f>
        <v>2958857</v>
      </c>
      <c r="I88" s="21">
        <f t="shared" ref="I88" si="67">H88-G88</f>
        <v>781169</v>
      </c>
      <c r="J88" s="10">
        <f t="shared" ref="J88" si="68">I88/G88</f>
        <v>0.35871483885662225</v>
      </c>
      <c r="K88" s="16">
        <f>SUM(K56:K86)</f>
        <v>3291500</v>
      </c>
      <c r="L88" s="2">
        <f t="shared" ref="L88" si="69">K88-H88</f>
        <v>332643</v>
      </c>
      <c r="M88" s="10">
        <f t="shared" ref="M88" si="70">L88/H88</f>
        <v>0.11242280380565874</v>
      </c>
    </row>
    <row r="89" spans="1:13" s="2" customFormat="1" x14ac:dyDescent="0.2"/>
    <row r="90" spans="1:13" ht="17" thickBot="1" x14ac:dyDescent="0.25">
      <c r="A90" s="2" t="s">
        <v>108</v>
      </c>
      <c r="B90" s="17">
        <f>B11-B88</f>
        <v>413394</v>
      </c>
      <c r="C90" s="17">
        <f t="shared" ref="C90:H90" si="71">C11-C88</f>
        <v>599705</v>
      </c>
      <c r="D90" s="17">
        <f t="shared" si="71"/>
        <v>106710</v>
      </c>
      <c r="E90" s="17">
        <f t="shared" si="71"/>
        <v>531091</v>
      </c>
      <c r="F90" s="17">
        <f t="shared" si="71"/>
        <v>185269</v>
      </c>
      <c r="G90" s="17">
        <f t="shared" si="71"/>
        <v>656264</v>
      </c>
      <c r="H90" s="17">
        <f t="shared" si="71"/>
        <v>-243696</v>
      </c>
      <c r="K90" s="17">
        <f t="shared" ref="K90" si="72">K11-K88</f>
        <v>-569790</v>
      </c>
      <c r="L90" s="2">
        <f t="shared" ref="L90" si="73">K90-H90</f>
        <v>-326094</v>
      </c>
      <c r="M90" s="10">
        <f t="shared" ref="M90" si="74">L90/H90</f>
        <v>1.3381179830608627</v>
      </c>
    </row>
    <row r="91" spans="1:13" ht="17" thickTop="1" x14ac:dyDescent="0.2">
      <c r="B91" s="2"/>
      <c r="C91" s="2"/>
      <c r="D91" s="2"/>
      <c r="E91" s="2"/>
      <c r="F91" s="2"/>
    </row>
    <row r="92" spans="1:13" x14ac:dyDescent="0.2">
      <c r="B92" s="2"/>
      <c r="C92" s="2"/>
      <c r="D92" s="2"/>
      <c r="E92" s="2"/>
      <c r="F92" s="2"/>
    </row>
    <row r="93" spans="1:13" x14ac:dyDescent="0.2">
      <c r="A93" t="s">
        <v>79</v>
      </c>
      <c r="B93" s="16">
        <v>1083497</v>
      </c>
      <c r="C93" s="16">
        <v>169266</v>
      </c>
      <c r="D93" s="16">
        <v>286885</v>
      </c>
      <c r="E93" s="16">
        <v>835708</v>
      </c>
      <c r="F93" s="16">
        <v>1261986</v>
      </c>
      <c r="G93" s="16">
        <v>2327775</v>
      </c>
      <c r="H93" s="16">
        <v>403804</v>
      </c>
      <c r="I93" s="21">
        <f t="shared" ref="I93" si="75">H93-G93</f>
        <v>-1923971</v>
      </c>
      <c r="J93" s="10">
        <f t="shared" ref="J93" si="76">I93/G93</f>
        <v>-0.82652790755120231</v>
      </c>
      <c r="K93" s="16">
        <v>290987</v>
      </c>
      <c r="L93" s="2">
        <f t="shared" ref="L93:L95" si="77">K93-H93</f>
        <v>-112817</v>
      </c>
      <c r="M93" s="10">
        <f t="shared" ref="M93:M95" si="78">L93/H93</f>
        <v>-0.27938554348149103</v>
      </c>
    </row>
    <row r="94" spans="1:13" x14ac:dyDescent="0.2">
      <c r="A94" t="s">
        <v>88</v>
      </c>
      <c r="B94" s="2"/>
      <c r="C94" s="2"/>
      <c r="D94" s="2"/>
      <c r="E94" s="2"/>
      <c r="F94" s="2"/>
      <c r="G94" s="2"/>
      <c r="H94" s="2">
        <v>1435278</v>
      </c>
      <c r="K94" s="2">
        <v>1540018</v>
      </c>
      <c r="L94" s="2">
        <f t="shared" si="77"/>
        <v>104740</v>
      </c>
      <c r="M94" s="10">
        <f t="shared" si="78"/>
        <v>7.2975409641895153E-2</v>
      </c>
    </row>
    <row r="95" spans="1:13" x14ac:dyDescent="0.2">
      <c r="A95" t="s">
        <v>80</v>
      </c>
      <c r="B95" s="2"/>
      <c r="C95" s="2"/>
      <c r="D95" s="2"/>
      <c r="E95" s="2"/>
      <c r="F95" s="2"/>
      <c r="G95" s="2">
        <v>26700</v>
      </c>
      <c r="H95" s="2">
        <v>33824</v>
      </c>
      <c r="I95" s="21">
        <f t="shared" ref="I95" si="79">H95-G95</f>
        <v>7124</v>
      </c>
      <c r="J95" s="10">
        <f t="shared" ref="J95" si="80">I95/G95</f>
        <v>0.26681647940074904</v>
      </c>
      <c r="K95" s="2">
        <v>31149</v>
      </c>
      <c r="L95" s="2">
        <f t="shared" si="77"/>
        <v>-2675</v>
      </c>
      <c r="M95" s="10">
        <f t="shared" si="78"/>
        <v>-7.908585619678335E-2</v>
      </c>
    </row>
    <row r="96" spans="1:13" x14ac:dyDescent="0.2">
      <c r="A96" t="s">
        <v>102</v>
      </c>
      <c r="B96" s="2"/>
      <c r="C96" s="2">
        <v>18305</v>
      </c>
      <c r="D96" s="2">
        <v>2000</v>
      </c>
      <c r="E96" s="2"/>
      <c r="F96" s="2"/>
      <c r="G96" s="2"/>
      <c r="H96" s="2"/>
      <c r="K96" s="2"/>
    </row>
    <row r="97" spans="1:13" x14ac:dyDescent="0.2">
      <c r="A97" t="s">
        <v>81</v>
      </c>
      <c r="B97" s="2"/>
      <c r="C97" s="2">
        <v>7613</v>
      </c>
      <c r="D97" s="2">
        <v>58284</v>
      </c>
      <c r="E97" s="2">
        <v>14989</v>
      </c>
      <c r="F97" s="2"/>
      <c r="G97" s="2">
        <v>14845</v>
      </c>
      <c r="H97" s="2">
        <v>37887</v>
      </c>
      <c r="I97" s="21">
        <f t="shared" ref="I97" si="81">H97-G97</f>
        <v>23042</v>
      </c>
      <c r="J97" s="10">
        <f t="shared" ref="J97" si="82">I97/G97</f>
        <v>1.5521724486359043</v>
      </c>
      <c r="K97" s="2">
        <v>287229</v>
      </c>
      <c r="L97" s="2">
        <f t="shared" ref="L97" si="83">K97-H97</f>
        <v>249342</v>
      </c>
      <c r="M97" s="10">
        <f t="shared" ref="M97" si="84">L97/H97</f>
        <v>6.5812019954073957</v>
      </c>
    </row>
    <row r="98" spans="1:13" x14ac:dyDescent="0.2">
      <c r="A98" t="s">
        <v>109</v>
      </c>
      <c r="B98" s="2">
        <v>3123</v>
      </c>
      <c r="C98" s="2"/>
      <c r="D98" s="2"/>
      <c r="E98" s="2"/>
      <c r="F98" s="2"/>
      <c r="G98" s="2"/>
      <c r="H98" s="2"/>
      <c r="K98" s="2"/>
    </row>
    <row r="99" spans="1:13" x14ac:dyDescent="0.2">
      <c r="A99" t="s">
        <v>82</v>
      </c>
      <c r="B99" s="2">
        <v>272089</v>
      </c>
      <c r="C99" s="2">
        <v>1991574</v>
      </c>
      <c r="D99" s="2">
        <v>1829506</v>
      </c>
      <c r="E99" s="2">
        <v>1669404</v>
      </c>
      <c r="F99" s="2">
        <v>1546629</v>
      </c>
      <c r="G99" s="2">
        <v>1439736</v>
      </c>
      <c r="H99" s="2">
        <v>1332474</v>
      </c>
      <c r="I99" s="21">
        <f t="shared" ref="I99" si="85">H99-G99</f>
        <v>-107262</v>
      </c>
      <c r="J99" s="10">
        <f t="shared" ref="J99" si="86">I99/G99</f>
        <v>-7.4501158545733387E-2</v>
      </c>
      <c r="K99" s="2">
        <v>1198304</v>
      </c>
      <c r="L99" s="2">
        <f t="shared" ref="L99" si="87">K99-H99</f>
        <v>-134170</v>
      </c>
      <c r="M99" s="10">
        <f t="shared" ref="M99" si="88">L99/H99</f>
        <v>-0.10069239624938273</v>
      </c>
    </row>
    <row r="100" spans="1:13" x14ac:dyDescent="0.2">
      <c r="A100" t="s">
        <v>99</v>
      </c>
      <c r="B100" s="2"/>
      <c r="C100" s="2">
        <v>16157</v>
      </c>
      <c r="D100" s="2">
        <v>20842</v>
      </c>
      <c r="E100" s="2">
        <v>27814</v>
      </c>
      <c r="F100" s="2"/>
      <c r="G100" s="2"/>
      <c r="H100" s="2"/>
      <c r="K100" s="2"/>
    </row>
    <row r="101" spans="1:13" ht="19" x14ac:dyDescent="0.35">
      <c r="A101" t="s">
        <v>83</v>
      </c>
      <c r="B101" s="14">
        <v>0</v>
      </c>
      <c r="C101" s="14">
        <v>0</v>
      </c>
      <c r="D101" s="14">
        <v>0</v>
      </c>
      <c r="E101" s="14">
        <v>0</v>
      </c>
      <c r="F101" s="14">
        <v>16587</v>
      </c>
      <c r="G101" s="14">
        <v>20634</v>
      </c>
      <c r="H101" s="14">
        <v>33904</v>
      </c>
      <c r="I101" s="21">
        <f t="shared" ref="I101" si="89">H101-G101</f>
        <v>13270</v>
      </c>
      <c r="J101" s="10">
        <f t="shared" ref="J101" si="90">I101/G101</f>
        <v>0.64311330813220902</v>
      </c>
      <c r="K101" s="14">
        <v>66256</v>
      </c>
      <c r="L101" s="2">
        <f t="shared" ref="L101" si="91">K101-H101</f>
        <v>32352</v>
      </c>
      <c r="M101" s="10">
        <f t="shared" ref="M101" si="92">L101/H101</f>
        <v>0.95422369042000943</v>
      </c>
    </row>
    <row r="102" spans="1:13" x14ac:dyDescent="0.2">
      <c r="B102" s="2"/>
      <c r="C102" s="2"/>
      <c r="D102" s="2"/>
      <c r="E102" s="2"/>
      <c r="F102" s="2"/>
      <c r="G102" s="2"/>
      <c r="H102" s="2"/>
    </row>
    <row r="103" spans="1:13" x14ac:dyDescent="0.2">
      <c r="A103" t="s">
        <v>12</v>
      </c>
      <c r="B103" s="16">
        <f t="shared" ref="B103:H103" si="93">SUM(B93:B101)</f>
        <v>1358709</v>
      </c>
      <c r="C103" s="16">
        <f t="shared" si="93"/>
        <v>2202915</v>
      </c>
      <c r="D103" s="16">
        <f t="shared" si="93"/>
        <v>2197517</v>
      </c>
      <c r="E103" s="16">
        <f t="shared" si="93"/>
        <v>2547915</v>
      </c>
      <c r="F103" s="16">
        <f t="shared" si="93"/>
        <v>2825202</v>
      </c>
      <c r="G103" s="16">
        <f t="shared" si="93"/>
        <v>3829690</v>
      </c>
      <c r="H103" s="16">
        <f t="shared" si="93"/>
        <v>3277171</v>
      </c>
      <c r="I103" s="21">
        <f t="shared" ref="I103" si="94">H103-G103</f>
        <v>-552519</v>
      </c>
      <c r="J103" s="10">
        <f t="shared" ref="J103" si="95">I103/G103</f>
        <v>-0.14427251291880022</v>
      </c>
      <c r="K103" s="16">
        <v>3413943</v>
      </c>
      <c r="L103" s="2">
        <f t="shared" ref="L103" si="96">K103-H103</f>
        <v>136772</v>
      </c>
      <c r="M103" s="10">
        <f t="shared" ref="M103" si="97">L103/H103</f>
        <v>4.1734776732736865E-2</v>
      </c>
    </row>
    <row r="104" spans="1:13" x14ac:dyDescent="0.2">
      <c r="B104" s="2"/>
      <c r="C104" s="2"/>
      <c r="D104" s="2"/>
      <c r="E104" s="2"/>
      <c r="F104" s="2"/>
      <c r="G104" s="2"/>
      <c r="H104" s="2"/>
      <c r="K104" s="2"/>
    </row>
    <row r="105" spans="1:13" x14ac:dyDescent="0.2">
      <c r="A105" t="s">
        <v>84</v>
      </c>
      <c r="B105" s="2">
        <v>45315</v>
      </c>
      <c r="C105" s="2">
        <v>86148</v>
      </c>
      <c r="D105" s="2">
        <v>109063</v>
      </c>
      <c r="E105" s="2">
        <v>38285</v>
      </c>
      <c r="F105" s="2">
        <v>61048</v>
      </c>
      <c r="G105" s="2">
        <v>67673</v>
      </c>
      <c r="H105" s="2">
        <v>91202</v>
      </c>
      <c r="I105" s="21">
        <f t="shared" ref="I105:I108" si="98">H105-G105</f>
        <v>23529</v>
      </c>
      <c r="J105" s="10">
        <f t="shared" ref="J105:J108" si="99">I105/G105</f>
        <v>0.347686669720568</v>
      </c>
      <c r="K105" s="2">
        <v>233356</v>
      </c>
      <c r="L105" s="2">
        <f t="shared" ref="L105:L108" si="100">K105-H105</f>
        <v>142154</v>
      </c>
      <c r="M105" s="10">
        <f t="shared" ref="M105:M108" si="101">L105/H105</f>
        <v>1.5586719589482687</v>
      </c>
    </row>
    <row r="106" spans="1:13" x14ac:dyDescent="0.2">
      <c r="A106" t="s">
        <v>85</v>
      </c>
      <c r="B106" s="2"/>
      <c r="C106" s="2">
        <v>203668</v>
      </c>
      <c r="D106" s="2">
        <v>205737</v>
      </c>
      <c r="E106" s="2">
        <v>23734</v>
      </c>
      <c r="G106" s="2">
        <v>176485</v>
      </c>
      <c r="H106" s="2">
        <v>175352</v>
      </c>
      <c r="I106" s="21">
        <f t="shared" si="98"/>
        <v>-1133</v>
      </c>
      <c r="J106" s="10">
        <f t="shared" si="99"/>
        <v>-6.4198090489276712E-3</v>
      </c>
      <c r="K106" s="2">
        <v>380772</v>
      </c>
      <c r="L106" s="2">
        <f t="shared" si="100"/>
        <v>205420</v>
      </c>
      <c r="M106" s="10">
        <f t="shared" si="101"/>
        <v>1.1714722386970209</v>
      </c>
    </row>
    <row r="107" spans="1:13" x14ac:dyDescent="0.2">
      <c r="A107" t="s">
        <v>86</v>
      </c>
      <c r="B107" s="2">
        <v>900000</v>
      </c>
      <c r="C107" s="2">
        <v>900000</v>
      </c>
      <c r="D107" s="2">
        <v>841667</v>
      </c>
      <c r="E107" s="2">
        <v>775000</v>
      </c>
      <c r="F107" s="2">
        <v>730333</v>
      </c>
      <c r="G107" s="2">
        <v>713356</v>
      </c>
      <c r="H107" s="2">
        <v>380961</v>
      </c>
      <c r="I107" s="21">
        <f t="shared" si="98"/>
        <v>-332395</v>
      </c>
      <c r="J107" s="10">
        <f t="shared" si="99"/>
        <v>-0.46595949287592731</v>
      </c>
      <c r="K107" s="2">
        <v>198461</v>
      </c>
      <c r="L107" s="2">
        <f t="shared" si="100"/>
        <v>-182500</v>
      </c>
      <c r="M107" s="10">
        <f t="shared" si="101"/>
        <v>-0.47905166145615957</v>
      </c>
    </row>
    <row r="108" spans="1:13" ht="19" x14ac:dyDescent="0.35">
      <c r="A108" t="s">
        <v>87</v>
      </c>
      <c r="B108" s="14">
        <v>0</v>
      </c>
      <c r="C108" s="14">
        <v>0</v>
      </c>
      <c r="D108" s="14">
        <v>6380</v>
      </c>
      <c r="E108" s="14">
        <v>156054</v>
      </c>
      <c r="F108" s="14">
        <v>320693</v>
      </c>
      <c r="G108" s="14">
        <v>17907</v>
      </c>
      <c r="H108" s="14">
        <v>19084</v>
      </c>
      <c r="I108" s="21">
        <f t="shared" si="98"/>
        <v>1177</v>
      </c>
      <c r="J108" s="10">
        <f t="shared" si="99"/>
        <v>6.5728486066901209E-2</v>
      </c>
      <c r="K108" s="14">
        <v>510572</v>
      </c>
      <c r="L108" s="2">
        <f t="shared" si="100"/>
        <v>491488</v>
      </c>
      <c r="M108" s="10">
        <f t="shared" si="101"/>
        <v>25.75392999371201</v>
      </c>
    </row>
    <row r="109" spans="1:13" x14ac:dyDescent="0.2">
      <c r="B109" s="2"/>
      <c r="C109" s="2"/>
      <c r="D109" s="2"/>
      <c r="E109" s="2"/>
      <c r="F109" s="2"/>
      <c r="G109" s="2"/>
      <c r="H109" s="2"/>
      <c r="K109" s="2"/>
    </row>
    <row r="110" spans="1:13" x14ac:dyDescent="0.2">
      <c r="A110" t="s">
        <v>13</v>
      </c>
      <c r="B110" s="16">
        <f t="shared" ref="B110:H110" si="102">SUM(B105:B108)</f>
        <v>945315</v>
      </c>
      <c r="C110" s="16">
        <f t="shared" si="102"/>
        <v>1189816</v>
      </c>
      <c r="D110" s="16">
        <f t="shared" si="102"/>
        <v>1162847</v>
      </c>
      <c r="E110" s="16">
        <f t="shared" si="102"/>
        <v>993073</v>
      </c>
      <c r="F110" s="16">
        <f t="shared" si="102"/>
        <v>1112074</v>
      </c>
      <c r="G110" s="16">
        <f t="shared" si="102"/>
        <v>975421</v>
      </c>
      <c r="H110" s="16">
        <f t="shared" si="102"/>
        <v>666599</v>
      </c>
      <c r="I110" s="21">
        <f t="shared" ref="I110" si="103">H110-G110</f>
        <v>-308822</v>
      </c>
      <c r="J110" s="10">
        <f t="shared" ref="J110" si="104">I110/G110</f>
        <v>-0.31660380492115714</v>
      </c>
      <c r="K110" s="16">
        <f t="shared" ref="K110" si="105">SUM(K105:K108)</f>
        <v>1323161</v>
      </c>
      <c r="L110" s="2">
        <f t="shared" ref="L110" si="106">K110-H110</f>
        <v>656562</v>
      </c>
      <c r="M110" s="10">
        <f t="shared" ref="M110" si="107">L110/H110</f>
        <v>0.9849429717116287</v>
      </c>
    </row>
    <row r="111" spans="1:13" x14ac:dyDescent="0.2">
      <c r="B111" s="2"/>
      <c r="C111" s="2"/>
      <c r="D111" s="2"/>
      <c r="E111" s="2"/>
      <c r="F111" s="2"/>
      <c r="G111" s="2"/>
      <c r="H111" s="2"/>
    </row>
    <row r="112" spans="1:13" ht="17" thickBot="1" x14ac:dyDescent="0.25">
      <c r="A112" t="s">
        <v>14</v>
      </c>
      <c r="B112" s="17">
        <f>B103-B110</f>
        <v>413394</v>
      </c>
      <c r="C112" s="17">
        <f>C103-C110</f>
        <v>1013099</v>
      </c>
      <c r="D112" s="17">
        <f>D103-D110</f>
        <v>1034670</v>
      </c>
      <c r="E112" s="17">
        <f t="shared" ref="E112:H112" si="108">E103-E110</f>
        <v>1554842</v>
      </c>
      <c r="F112" s="17">
        <f t="shared" si="108"/>
        <v>1713128</v>
      </c>
      <c r="G112" s="17">
        <f t="shared" si="108"/>
        <v>2854269</v>
      </c>
      <c r="H112" s="17">
        <f t="shared" si="108"/>
        <v>2610572</v>
      </c>
      <c r="I112" s="21">
        <f t="shared" ref="I112" si="109">H112-G112</f>
        <v>-243697</v>
      </c>
      <c r="J112" s="10">
        <f t="shared" ref="J112" si="110">I112/G112</f>
        <v>-8.5379829301302709E-2</v>
      </c>
      <c r="K112" s="17">
        <f t="shared" ref="K112" si="111">K103-K110</f>
        <v>2090782</v>
      </c>
      <c r="L112" s="2">
        <f t="shared" ref="L112" si="112">K112-H112</f>
        <v>-519790</v>
      </c>
      <c r="M112" s="10">
        <f t="shared" ref="M112" si="113">L112/H112</f>
        <v>-0.19910962042035232</v>
      </c>
    </row>
    <row r="113" spans="1:13" ht="17" thickTop="1" x14ac:dyDescent="0.2">
      <c r="B113" s="2"/>
      <c r="C113" s="2"/>
      <c r="D113" s="2"/>
      <c r="E113" s="2"/>
      <c r="F113" s="2"/>
      <c r="G113" s="2"/>
    </row>
    <row r="114" spans="1:13" ht="17" x14ac:dyDescent="0.2">
      <c r="A114" s="18" t="s">
        <v>110</v>
      </c>
      <c r="B114" s="19"/>
      <c r="C114" s="19">
        <f>B112+C90</f>
        <v>1013099</v>
      </c>
      <c r="D114" s="19">
        <f t="shared" ref="D114:H114" si="114">C112+D90</f>
        <v>1119809</v>
      </c>
      <c r="E114" s="19">
        <f t="shared" si="114"/>
        <v>1565761</v>
      </c>
      <c r="F114" s="19">
        <f t="shared" si="114"/>
        <v>1740111</v>
      </c>
      <c r="G114" s="19">
        <f t="shared" si="114"/>
        <v>2369392</v>
      </c>
      <c r="H114" s="19">
        <f t="shared" si="114"/>
        <v>2610573</v>
      </c>
      <c r="J114" s="9"/>
      <c r="K114" s="19">
        <f>H112+K18</f>
        <v>2040782</v>
      </c>
      <c r="L114" s="2">
        <f t="shared" ref="L114" si="115">K114-H114</f>
        <v>-569791</v>
      </c>
      <c r="M114" s="10">
        <f t="shared" ref="M114" si="116">L114/H114</f>
        <v>-0.21826281050175575</v>
      </c>
    </row>
    <row r="115" spans="1:13" x14ac:dyDescent="0.2">
      <c r="B115" s="2"/>
      <c r="C115" s="2"/>
      <c r="D115" s="2"/>
      <c r="E115" s="2"/>
      <c r="F115" s="2"/>
    </row>
    <row r="116" spans="1:13" x14ac:dyDescent="0.2">
      <c r="E116" s="2"/>
      <c r="F116" s="2"/>
      <c r="H116" t="s">
        <v>111</v>
      </c>
      <c r="I116" s="21">
        <f>I93-H110</f>
        <v>-2590570</v>
      </c>
    </row>
    <row r="117" spans="1:13" x14ac:dyDescent="0.2">
      <c r="E117" s="2"/>
      <c r="F117" s="2"/>
      <c r="I117" s="21"/>
    </row>
    <row r="118" spans="1:13" x14ac:dyDescent="0.2">
      <c r="A118" t="s">
        <v>121</v>
      </c>
      <c r="B118" t="s">
        <v>122</v>
      </c>
      <c r="C118" t="s">
        <v>122</v>
      </c>
      <c r="D118" t="s">
        <v>124</v>
      </c>
      <c r="E118" t="s">
        <v>124</v>
      </c>
      <c r="F118" t="s">
        <v>124</v>
      </c>
      <c r="G118" t="s">
        <v>124</v>
      </c>
      <c r="H118" t="s">
        <v>125</v>
      </c>
      <c r="K118" t="s">
        <v>124</v>
      </c>
    </row>
    <row r="119" spans="1:13" x14ac:dyDescent="0.2">
      <c r="C119" t="s">
        <v>123</v>
      </c>
      <c r="E119" s="2"/>
      <c r="F119" s="2"/>
    </row>
    <row r="120" spans="1:13" x14ac:dyDescent="0.2">
      <c r="E120" s="2"/>
      <c r="F120" s="2"/>
    </row>
    <row r="121" spans="1:13" x14ac:dyDescent="0.2">
      <c r="E121" s="2"/>
      <c r="F121" s="2"/>
    </row>
    <row r="122" spans="1:13" x14ac:dyDescent="0.2">
      <c r="E122" s="2"/>
      <c r="F122" s="2"/>
    </row>
    <row r="123" spans="1:13" x14ac:dyDescent="0.2">
      <c r="E123" s="2"/>
      <c r="F123" s="2"/>
    </row>
    <row r="124" spans="1:13" x14ac:dyDescent="0.2">
      <c r="E124" s="2"/>
      <c r="F124" s="2"/>
    </row>
    <row r="125" spans="1:13" x14ac:dyDescent="0.2">
      <c r="E125" s="2"/>
      <c r="F125" s="2"/>
    </row>
    <row r="126" spans="1:13" x14ac:dyDescent="0.2">
      <c r="E126" s="2"/>
      <c r="F126" s="2"/>
    </row>
    <row r="127" spans="1:13" x14ac:dyDescent="0.2">
      <c r="E127" s="2"/>
      <c r="F127" s="2"/>
    </row>
    <row r="128" spans="1:13" x14ac:dyDescent="0.2">
      <c r="E128" s="2"/>
      <c r="F128" s="2"/>
    </row>
    <row r="129" spans="5:6" x14ac:dyDescent="0.2">
      <c r="E129" s="2"/>
      <c r="F129" s="2"/>
    </row>
    <row r="130" spans="5:6" x14ac:dyDescent="0.2">
      <c r="E130" s="2"/>
      <c r="F130" s="2"/>
    </row>
    <row r="131" spans="5:6" x14ac:dyDescent="0.2">
      <c r="E131" s="2"/>
      <c r="F131" s="2"/>
    </row>
    <row r="132" spans="5:6" x14ac:dyDescent="0.2">
      <c r="E132" s="2"/>
      <c r="F132" s="2"/>
    </row>
    <row r="133" spans="5:6" x14ac:dyDescent="0.2">
      <c r="E133" s="2"/>
      <c r="F133" s="2"/>
    </row>
    <row r="134" spans="5:6" x14ac:dyDescent="0.2">
      <c r="E134" s="2"/>
      <c r="F134" s="2"/>
    </row>
    <row r="135" spans="5:6" x14ac:dyDescent="0.2">
      <c r="E135" s="2"/>
      <c r="F135" s="2"/>
    </row>
    <row r="136" spans="5:6" x14ac:dyDescent="0.2">
      <c r="E136" s="2"/>
      <c r="F136" s="2"/>
    </row>
    <row r="137" spans="5:6" x14ac:dyDescent="0.2">
      <c r="F137" s="2"/>
    </row>
    <row r="138" spans="5:6" x14ac:dyDescent="0.2">
      <c r="F138" s="2"/>
    </row>
    <row r="139" spans="5:6" x14ac:dyDescent="0.2">
      <c r="F139" s="2"/>
    </row>
    <row r="140" spans="5:6" x14ac:dyDescent="0.2">
      <c r="F140" s="2"/>
    </row>
    <row r="141" spans="5:6" x14ac:dyDescent="0.2">
      <c r="F141" s="2"/>
    </row>
  </sheetData>
  <pageMargins left="0.7" right="0.7" top="0.75" bottom="0.75" header="0.3" footer="0.3"/>
  <pageSetup scale="80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DF35E-C9CA-6347-98EE-7EC8F2463C15}">
  <dimension ref="A1:K31"/>
  <sheetViews>
    <sheetView workbookViewId="0">
      <pane xSplit="1" ySplit="3" topLeftCell="C4" activePane="bottomRight" state="frozen"/>
      <selection pane="topRight" activeCell="C1" sqref="C1"/>
      <selection pane="bottomLeft" activeCell="A4" sqref="A4"/>
      <selection pane="bottomRight" activeCell="E12" sqref="E12"/>
    </sheetView>
  </sheetViews>
  <sheetFormatPr baseColWidth="10" defaultRowHeight="16" x14ac:dyDescent="0.2"/>
  <cols>
    <col min="1" max="1" width="39" bestFit="1" customWidth="1"/>
    <col min="2" max="2" width="76.6640625" hidden="1" customWidth="1"/>
    <col min="3" max="3" width="15.83203125" customWidth="1"/>
    <col min="4" max="4" width="16.83203125" style="2" customWidth="1"/>
    <col min="5" max="8" width="22.1640625" customWidth="1"/>
    <col min="9" max="9" width="12.83203125" bestFit="1" customWidth="1"/>
    <col min="10" max="10" width="43.83203125" hidden="1" customWidth="1"/>
  </cols>
  <sheetData>
    <row r="1" spans="1:11" x14ac:dyDescent="0.2">
      <c r="K1" t="s">
        <v>20</v>
      </c>
    </row>
    <row r="2" spans="1:11" ht="17" x14ac:dyDescent="0.2">
      <c r="C2" s="8">
        <v>2017</v>
      </c>
      <c r="D2" s="24">
        <v>2018</v>
      </c>
      <c r="E2">
        <v>2019</v>
      </c>
      <c r="F2">
        <v>2020</v>
      </c>
      <c r="G2">
        <v>2021</v>
      </c>
      <c r="H2">
        <v>2022</v>
      </c>
      <c r="I2">
        <v>2023</v>
      </c>
    </row>
    <row r="3" spans="1:11" ht="17" x14ac:dyDescent="0.2">
      <c r="A3" s="6" t="s">
        <v>21</v>
      </c>
      <c r="B3" s="3" t="s">
        <v>22</v>
      </c>
      <c r="E3" s="3"/>
      <c r="F3" s="3"/>
      <c r="G3" s="3"/>
      <c r="H3" s="3"/>
      <c r="I3" s="3" t="s">
        <v>23</v>
      </c>
      <c r="J3" s="3" t="s">
        <v>24</v>
      </c>
    </row>
    <row r="4" spans="1:11" ht="17" x14ac:dyDescent="0.2">
      <c r="A4" s="7" t="s">
        <v>28</v>
      </c>
      <c r="B4" s="4" t="s">
        <v>29</v>
      </c>
      <c r="C4" s="5">
        <v>150000</v>
      </c>
      <c r="D4" s="5">
        <v>150000</v>
      </c>
      <c r="E4" s="5">
        <v>607285</v>
      </c>
      <c r="F4" s="5">
        <v>320000</v>
      </c>
      <c r="G4" s="5">
        <v>500000</v>
      </c>
      <c r="H4" s="5">
        <v>250000</v>
      </c>
      <c r="I4" s="5">
        <v>250000</v>
      </c>
      <c r="J4" s="4" t="s">
        <v>30</v>
      </c>
      <c r="K4" s="9">
        <f t="shared" ref="K4:K25" si="0">SUM(C4:J4)</f>
        <v>2227285</v>
      </c>
    </row>
    <row r="5" spans="1:11" x14ac:dyDescent="0.2">
      <c r="A5" t="s">
        <v>51</v>
      </c>
      <c r="D5" s="2">
        <v>150000</v>
      </c>
      <c r="E5" s="2"/>
      <c r="F5" s="1">
        <v>250000</v>
      </c>
      <c r="G5" s="2">
        <v>250000</v>
      </c>
      <c r="H5" s="2">
        <v>250000</v>
      </c>
      <c r="I5" s="1"/>
      <c r="K5" s="9">
        <f t="shared" si="0"/>
        <v>900000</v>
      </c>
    </row>
    <row r="6" spans="1:11" x14ac:dyDescent="0.2">
      <c r="A6" t="s">
        <v>57</v>
      </c>
      <c r="E6" s="2"/>
      <c r="F6" s="1">
        <f>83168+30500</f>
        <v>113668</v>
      </c>
      <c r="G6" s="2">
        <v>115067</v>
      </c>
      <c r="H6" s="1"/>
      <c r="I6" s="1"/>
      <c r="K6" s="9">
        <f t="shared" si="0"/>
        <v>228735</v>
      </c>
    </row>
    <row r="7" spans="1:11" ht="17" x14ac:dyDescent="0.2">
      <c r="A7" s="7" t="s">
        <v>31</v>
      </c>
      <c r="B7" s="4" t="s">
        <v>32</v>
      </c>
      <c r="C7" s="4"/>
      <c r="D7" s="5"/>
      <c r="E7" s="5"/>
      <c r="F7" s="5"/>
      <c r="G7" s="5"/>
      <c r="H7" s="5">
        <v>45000</v>
      </c>
      <c r="I7" s="5">
        <v>50000</v>
      </c>
      <c r="J7" s="4" t="s">
        <v>33</v>
      </c>
      <c r="K7" s="9">
        <f t="shared" si="0"/>
        <v>95000</v>
      </c>
    </row>
    <row r="8" spans="1:11" x14ac:dyDescent="0.2">
      <c r="A8" t="s">
        <v>56</v>
      </c>
      <c r="E8" s="2"/>
      <c r="F8" s="1"/>
      <c r="G8" s="2">
        <v>35000</v>
      </c>
      <c r="H8" s="1">
        <v>50000</v>
      </c>
      <c r="I8" s="1"/>
      <c r="K8" s="9">
        <f t="shared" si="0"/>
        <v>85000</v>
      </c>
    </row>
    <row r="9" spans="1:11" ht="17" x14ac:dyDescent="0.2">
      <c r="A9" s="7" t="s">
        <v>34</v>
      </c>
      <c r="B9" s="4" t="s">
        <v>35</v>
      </c>
      <c r="C9" s="4"/>
      <c r="D9" s="5"/>
      <c r="E9" s="5"/>
      <c r="F9" s="5"/>
      <c r="G9" s="5">
        <v>5000</v>
      </c>
      <c r="H9" s="5">
        <v>35000</v>
      </c>
      <c r="I9" s="5">
        <v>33000</v>
      </c>
      <c r="J9" s="4" t="s">
        <v>36</v>
      </c>
      <c r="K9" s="9">
        <f t="shared" si="0"/>
        <v>73000</v>
      </c>
    </row>
    <row r="10" spans="1:11" x14ac:dyDescent="0.2">
      <c r="A10" t="s">
        <v>55</v>
      </c>
      <c r="E10" s="2"/>
      <c r="F10" s="1"/>
      <c r="G10" s="2">
        <v>40000</v>
      </c>
      <c r="H10" s="1">
        <v>30000</v>
      </c>
      <c r="I10" s="1"/>
      <c r="K10" s="9">
        <f t="shared" si="0"/>
        <v>70000</v>
      </c>
    </row>
    <row r="11" spans="1:11" ht="17" x14ac:dyDescent="0.2">
      <c r="A11" s="7" t="s">
        <v>42</v>
      </c>
      <c r="B11" s="4" t="s">
        <v>43</v>
      </c>
      <c r="C11" s="4"/>
      <c r="D11" s="5"/>
      <c r="E11" s="5"/>
      <c r="F11" s="5">
        <v>28000</v>
      </c>
      <c r="G11" s="5"/>
      <c r="H11" s="5"/>
      <c r="I11" s="5">
        <v>25000</v>
      </c>
      <c r="J11" s="4" t="s">
        <v>44</v>
      </c>
      <c r="K11" s="9">
        <f t="shared" si="0"/>
        <v>53000</v>
      </c>
    </row>
    <row r="12" spans="1:11" ht="17" x14ac:dyDescent="0.2">
      <c r="A12" s="7" t="s">
        <v>37</v>
      </c>
      <c r="B12" s="4" t="s">
        <v>38</v>
      </c>
      <c r="C12" s="4"/>
      <c r="D12" s="5"/>
      <c r="E12" s="5"/>
      <c r="F12" s="5"/>
      <c r="G12" s="5"/>
      <c r="H12" s="5"/>
      <c r="I12" s="5">
        <v>51100</v>
      </c>
      <c r="J12" s="4" t="s">
        <v>39</v>
      </c>
      <c r="K12" s="9">
        <f t="shared" si="0"/>
        <v>51100</v>
      </c>
    </row>
    <row r="13" spans="1:11" x14ac:dyDescent="0.2">
      <c r="A13" t="s">
        <v>53</v>
      </c>
      <c r="E13" s="2">
        <v>7500</v>
      </c>
      <c r="F13" s="1"/>
      <c r="G13" s="2">
        <v>15000</v>
      </c>
      <c r="H13" s="1">
        <v>7500</v>
      </c>
      <c r="I13" s="1"/>
      <c r="K13" s="9">
        <f t="shared" si="0"/>
        <v>30000</v>
      </c>
    </row>
    <row r="14" spans="1:11" x14ac:dyDescent="0.2">
      <c r="A14" t="s">
        <v>60</v>
      </c>
      <c r="E14" s="2"/>
      <c r="F14" s="1">
        <v>20000</v>
      </c>
      <c r="G14" s="1"/>
      <c r="H14" s="1"/>
      <c r="I14" s="1"/>
      <c r="K14" s="9">
        <f t="shared" si="0"/>
        <v>20000</v>
      </c>
    </row>
    <row r="15" spans="1:11" x14ac:dyDescent="0.2">
      <c r="A15" t="s">
        <v>54</v>
      </c>
      <c r="E15" s="2"/>
      <c r="F15" s="1"/>
      <c r="G15" s="2">
        <v>5000</v>
      </c>
      <c r="H15" s="1">
        <v>10000</v>
      </c>
      <c r="I15" s="1"/>
      <c r="K15" s="9">
        <f t="shared" si="0"/>
        <v>15000</v>
      </c>
    </row>
    <row r="16" spans="1:11" x14ac:dyDescent="0.2">
      <c r="A16" t="s">
        <v>58</v>
      </c>
      <c r="E16" s="2"/>
      <c r="F16" s="1">
        <v>10000</v>
      </c>
      <c r="G16" s="2">
        <v>5000</v>
      </c>
      <c r="H16" s="1"/>
      <c r="I16" s="1"/>
      <c r="K16" s="9">
        <f t="shared" si="0"/>
        <v>15000</v>
      </c>
    </row>
    <row r="17" spans="1:11" x14ac:dyDescent="0.2">
      <c r="A17" t="s">
        <v>52</v>
      </c>
      <c r="E17" s="2"/>
      <c r="F17" s="1">
        <v>3000</v>
      </c>
      <c r="G17" s="2">
        <v>3500</v>
      </c>
      <c r="H17" s="1">
        <v>5000</v>
      </c>
      <c r="I17" s="1"/>
      <c r="K17" s="9">
        <f t="shared" si="0"/>
        <v>11500</v>
      </c>
    </row>
    <row r="18" spans="1:11" ht="17" x14ac:dyDescent="0.2">
      <c r="A18" s="7" t="s">
        <v>25</v>
      </c>
      <c r="B18" s="4" t="s">
        <v>26</v>
      </c>
      <c r="C18" s="4"/>
      <c r="D18" s="5"/>
      <c r="E18" s="5"/>
      <c r="F18" s="5"/>
      <c r="G18" s="5"/>
      <c r="H18" s="5"/>
      <c r="I18" s="5">
        <v>8473</v>
      </c>
      <c r="J18" s="4" t="s">
        <v>27</v>
      </c>
      <c r="K18" s="9">
        <f t="shared" si="0"/>
        <v>8473</v>
      </c>
    </row>
    <row r="19" spans="1:11" ht="17" x14ac:dyDescent="0.2">
      <c r="A19" s="7" t="s">
        <v>40</v>
      </c>
      <c r="B19" s="4" t="s">
        <v>41</v>
      </c>
      <c r="C19" s="4"/>
      <c r="D19" s="5"/>
      <c r="E19" s="5"/>
      <c r="F19" s="5"/>
      <c r="G19" s="5"/>
      <c r="H19" s="5"/>
      <c r="I19" s="5">
        <v>7875</v>
      </c>
      <c r="J19" s="4" t="s">
        <v>27</v>
      </c>
      <c r="K19" s="9">
        <f t="shared" si="0"/>
        <v>7875</v>
      </c>
    </row>
    <row r="20" spans="1:11" x14ac:dyDescent="0.2">
      <c r="A20" t="s">
        <v>59</v>
      </c>
      <c r="E20" s="2"/>
      <c r="F20" s="1">
        <v>6000</v>
      </c>
      <c r="G20" s="2"/>
      <c r="H20" s="1"/>
      <c r="I20" s="1"/>
      <c r="K20" s="9">
        <f t="shared" si="0"/>
        <v>6000</v>
      </c>
    </row>
    <row r="21" spans="1:11" ht="17" x14ac:dyDescent="0.2">
      <c r="A21" s="7" t="s">
        <v>45</v>
      </c>
      <c r="B21" s="4" t="s">
        <v>46</v>
      </c>
      <c r="C21" s="4"/>
      <c r="D21" s="5"/>
      <c r="E21" s="5"/>
      <c r="F21" s="5"/>
      <c r="G21" s="5"/>
      <c r="H21" s="5"/>
      <c r="I21" s="5">
        <v>1500</v>
      </c>
      <c r="J21" s="4" t="s">
        <v>47</v>
      </c>
      <c r="K21" s="9">
        <f t="shared" si="0"/>
        <v>1500</v>
      </c>
    </row>
    <row r="22" spans="1:11" ht="17" x14ac:dyDescent="0.2">
      <c r="A22" s="7" t="s">
        <v>48</v>
      </c>
      <c r="B22" s="4" t="s">
        <v>49</v>
      </c>
      <c r="C22" s="4"/>
      <c r="D22" s="5"/>
      <c r="E22" s="5"/>
      <c r="F22" s="5"/>
      <c r="G22" s="5"/>
      <c r="H22" s="5"/>
      <c r="I22" s="5">
        <v>1000</v>
      </c>
      <c r="J22" s="4" t="s">
        <v>50</v>
      </c>
      <c r="K22" s="9">
        <f t="shared" si="0"/>
        <v>1000</v>
      </c>
    </row>
    <row r="23" spans="1:11" x14ac:dyDescent="0.2">
      <c r="A23" t="s">
        <v>40</v>
      </c>
      <c r="E23" s="2"/>
      <c r="F23" s="1"/>
      <c r="G23" s="2"/>
      <c r="H23" s="1">
        <v>1000</v>
      </c>
      <c r="I23" s="1"/>
      <c r="K23" s="9">
        <f t="shared" si="0"/>
        <v>1000</v>
      </c>
    </row>
    <row r="24" spans="1:11" x14ac:dyDescent="0.2">
      <c r="A24" t="s">
        <v>61</v>
      </c>
      <c r="E24" s="2">
        <v>1000</v>
      </c>
      <c r="F24" s="1"/>
      <c r="G24" s="1"/>
      <c r="H24" s="1"/>
      <c r="I24" s="1"/>
      <c r="K24" s="9">
        <f t="shared" si="0"/>
        <v>1000</v>
      </c>
    </row>
    <row r="25" spans="1:11" x14ac:dyDescent="0.2">
      <c r="A25" t="s">
        <v>48</v>
      </c>
      <c r="E25" s="2">
        <v>1000</v>
      </c>
      <c r="K25" s="9">
        <f t="shared" si="0"/>
        <v>1000</v>
      </c>
    </row>
    <row r="26" spans="1:11" x14ac:dyDescent="0.2">
      <c r="E26" s="2"/>
      <c r="K26" s="9"/>
    </row>
    <row r="27" spans="1:11" x14ac:dyDescent="0.2">
      <c r="C27" s="9">
        <f t="shared" ref="C27:D27" si="1">SUM(C4:C25)</f>
        <v>150000</v>
      </c>
      <c r="D27" s="9">
        <f t="shared" si="1"/>
        <v>300000</v>
      </c>
      <c r="E27" s="9">
        <f>SUM(E4:E25)</f>
        <v>616785</v>
      </c>
      <c r="F27" s="9">
        <f t="shared" ref="F27:I27" si="2">SUM(F4:F25)</f>
        <v>750668</v>
      </c>
      <c r="G27" s="9">
        <f t="shared" si="2"/>
        <v>973567</v>
      </c>
      <c r="H27" s="9">
        <f t="shared" si="2"/>
        <v>683500</v>
      </c>
      <c r="I27" s="9">
        <f t="shared" si="2"/>
        <v>427948</v>
      </c>
      <c r="K27" s="9">
        <f t="shared" ref="K27" si="3">SUM(C27:J27)</f>
        <v>3902468</v>
      </c>
    </row>
    <row r="28" spans="1:11" x14ac:dyDescent="0.2">
      <c r="H28" s="10">
        <f>H27/H31</f>
        <v>0.54858003248942167</v>
      </c>
      <c r="I28" s="10">
        <f>I27/I31</f>
        <v>0.33729572606998004</v>
      </c>
    </row>
    <row r="29" spans="1:11" x14ac:dyDescent="0.2">
      <c r="C29">
        <f t="shared" ref="C29:H29" si="4">COUNT(C4:C25)</f>
        <v>1</v>
      </c>
      <c r="D29">
        <f t="shared" si="4"/>
        <v>2</v>
      </c>
      <c r="E29">
        <f t="shared" si="4"/>
        <v>4</v>
      </c>
      <c r="F29">
        <f t="shared" si="4"/>
        <v>8</v>
      </c>
      <c r="G29">
        <f t="shared" si="4"/>
        <v>10</v>
      </c>
      <c r="H29">
        <f t="shared" si="4"/>
        <v>10</v>
      </c>
      <c r="I29">
        <f>COUNT(I4:I25)</f>
        <v>9</v>
      </c>
    </row>
    <row r="31" spans="1:11" x14ac:dyDescent="0.2">
      <c r="H31" s="2">
        <v>1245944</v>
      </c>
      <c r="I31" s="2">
        <v>1268762</v>
      </c>
    </row>
  </sheetData>
  <autoFilter ref="A3:K3" xr:uid="{037DF35E-C9CA-6347-98EE-7EC8F2463C15}">
    <sortState xmlns:xlrd2="http://schemas.microsoft.com/office/spreadsheetml/2017/richdata2" ref="A4:K25">
      <sortCondition descending="1" ref="K3:K25"/>
    </sortState>
  </autoFilter>
  <hyperlinks>
    <hyperlink ref="A18" r:id="rId1" display="https://www.instrumentl.com/990-report/american-online-giving-foundation-inc-5e995027-1217-43d7-98a1-74b0a6565a6c" xr:uid="{B4EEDAEA-D5D1-B745-8AD2-03CCA62CB334}"/>
    <hyperlink ref="A4" r:id="rId2" display="https://www.instrumentl.com/990-report/anna-maria-and-stephen-kellen-foundation-inc" xr:uid="{1BA888A7-3458-8346-B750-2080C224632C}"/>
    <hyperlink ref="A7" r:id="rId3" display="https://www.instrumentl.com/990-report/anne-s-richardson-fund-t5874" xr:uid="{CA334D24-2263-244E-B5EE-D908F3C6EAA6}"/>
    <hyperlink ref="A9" r:id="rId4" display="https://www.instrumentl.com/990-report/burry-fredrik-foundation-inc" xr:uid="{7F8961B5-4856-2A4B-AEF4-AAE0CFE04383}"/>
    <hyperlink ref="A12" r:id="rId5" display="https://www.instrumentl.com/990-report/connecticut-humanities-council-inc" xr:uid="{C1709804-A78E-E04B-8F3E-B9A94001DFDF}"/>
    <hyperlink ref="A19" r:id="rId6" display="https://www.instrumentl.com/990-report/perakis-foundation-james-perakis-trustee" xr:uid="{CCBBE711-E780-6F4B-B01F-34D831899746}"/>
    <hyperlink ref="A11" r:id="rId7" display="https://www.instrumentl.com/990-report/robert-and-diana-borman-family-foundation" xr:uid="{2F27D6F4-7ABB-7747-ACC8-133A68D62C8E}"/>
    <hyperlink ref="A21" r:id="rId8" display="https://www.instrumentl.com/990-report/barker-welfare-foundation" xr:uid="{DA174B4F-C034-0741-8558-4A732ECE5F60}"/>
    <hyperlink ref="A22" r:id="rId9" display="https://www.instrumentl.com/990-report/spofford-foundation-inc" xr:uid="{94E0CD79-9A0D-7541-91D1-7FB96B142428}"/>
  </hyperlink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C1822-B06D-9F44-B6EF-BDE7AE5A1EE1}">
  <dimension ref="B3:C4"/>
  <sheetViews>
    <sheetView workbookViewId="0">
      <selection activeCell="C8" sqref="C8"/>
    </sheetView>
  </sheetViews>
  <sheetFormatPr baseColWidth="10" defaultRowHeight="16" x14ac:dyDescent="0.2"/>
  <sheetData>
    <row r="3" spans="2:3" x14ac:dyDescent="0.2">
      <c r="B3" t="s">
        <v>119</v>
      </c>
      <c r="C3" t="s">
        <v>118</v>
      </c>
    </row>
    <row r="4" spans="2:3" x14ac:dyDescent="0.2">
      <c r="B4" t="s">
        <v>17</v>
      </c>
      <c r="C4" t="s">
        <v>120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990 Trend Data</vt:lpstr>
      <vt:lpstr>Large Donors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Kirk Carr</dc:creator>
  <cp:lastModifiedBy>Kirk Carr</cp:lastModifiedBy>
  <cp:lastPrinted>2024-08-19T19:17:25Z</cp:lastPrinted>
  <dcterms:created xsi:type="dcterms:W3CDTF">2024-07-18T20:13:19Z</dcterms:created>
  <dcterms:modified xsi:type="dcterms:W3CDTF">2025-07-09T13:01:10Z</dcterms:modified>
</cp:coreProperties>
</file>